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90" yWindow="300" windowWidth="17490" windowHeight="1029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'Druckversion'!$A$1:$BQ$193</definedName>
    <definedName name="_xlnm.Print_Area" localSheetId="0">'Ergebniseingabe'!$A$1:$BP$171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2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78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94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<sst xmlns="http://schemas.openxmlformats.org/spreadsheetml/2006/main" count="403" uniqueCount="102">
  <si>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</si>
  <si>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</si>
  <si>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</si>
  <si>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</si>
  <si>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</si>
  <si>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</si>
  <si>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</si>
  <si>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</si>
  <si>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</si>
  <si>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Spielplan Vorrunde</t>
  </si>
  <si>
    <t>Nr.</t>
  </si>
  <si>
    <t>Grp.</t>
  </si>
  <si>
    <t>Spielpaarung</t>
  </si>
  <si>
    <t>Ergebnis</t>
  </si>
  <si>
    <t>Abschlusstabellen Vorrunde</t>
  </si>
  <si>
    <t>A</t>
  </si>
  <si>
    <t>-</t>
  </si>
  <si>
    <t>B</t>
  </si>
  <si>
    <t>C</t>
  </si>
  <si>
    <t>Sp</t>
  </si>
  <si>
    <t>g</t>
  </si>
  <si>
    <t>u</t>
  </si>
  <si>
    <t>v</t>
  </si>
  <si>
    <t>Tore</t>
  </si>
  <si>
    <t>Diff.</t>
  </si>
  <si>
    <t>Pkt.</t>
  </si>
  <si>
    <t>Endrunde</t>
  </si>
  <si>
    <t>Nr</t>
  </si>
  <si>
    <t>Spiel um Platz 3</t>
  </si>
  <si>
    <t>Endspiel</t>
  </si>
  <si>
    <t>Abschlusstabelle</t>
  </si>
  <si>
    <t>Plazierung</t>
  </si>
  <si>
    <t>1.</t>
  </si>
  <si>
    <t>2.</t>
  </si>
  <si>
    <t>3.</t>
  </si>
  <si>
    <t>4.</t>
  </si>
  <si>
    <t>5.</t>
  </si>
  <si>
    <t>+</t>
  </si>
  <si>
    <t>Punkte</t>
  </si>
  <si>
    <t>diff.</t>
  </si>
  <si>
    <t>Spiele</t>
  </si>
  <si>
    <t>n. 9m</t>
  </si>
  <si>
    <t>n. 11m</t>
  </si>
  <si>
    <t>n. V.</t>
  </si>
  <si>
    <t>Grp. 3.</t>
  </si>
  <si>
    <t>Korrektur</t>
  </si>
  <si>
    <t>Grund</t>
  </si>
  <si>
    <t>Platz</t>
  </si>
  <si>
    <t>Uhrzeit:</t>
  </si>
  <si>
    <t>Uhrzeit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</si>
  <si>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</si>
  <si>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</si>
  <si>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</si>
  <si>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</si>
  <si>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</si>
  <si>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</si>
  <si>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</si>
  <si>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</si>
  <si>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</si>
  <si>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Gleichstand liegt vor</t>
  </si>
  <si>
    <t>Tore +</t>
  </si>
  <si>
    <t>9.</t>
  </si>
  <si>
    <t>1. Viertelfinale</t>
  </si>
  <si>
    <t>2. Viertelfinale</t>
  </si>
  <si>
    <t>3. Viertelfinale</t>
  </si>
  <si>
    <t>4. Viertelfinale</t>
  </si>
  <si>
    <t>1. Halbfinale</t>
  </si>
  <si>
    <t>2. Halbfinale</t>
  </si>
  <si>
    <t>1. Gruppe A</t>
  </si>
  <si>
    <t>2. Gruppe B</t>
  </si>
  <si>
    <t>2. Gruppe A</t>
  </si>
  <si>
    <t>2. Gruppe C</t>
  </si>
  <si>
    <t>1. Gruppe C</t>
  </si>
  <si>
    <t>1. Gruppe B</t>
  </si>
  <si>
    <t>Sieger Spiel 20</t>
  </si>
  <si>
    <t>Sieger Spiel 21</t>
  </si>
  <si>
    <t>Sieger Spiel 22</t>
  </si>
  <si>
    <t>Sieger Spiel 23</t>
  </si>
  <si>
    <t>Sieger Spiel 24</t>
  </si>
  <si>
    <t>Sieger Spiel 25</t>
  </si>
  <si>
    <t>Verlierer Spiel 24</t>
  </si>
  <si>
    <t>Verlierer Spiel 25</t>
  </si>
  <si>
    <t>n. 6m</t>
  </si>
  <si>
    <t>Sieger Spiel 19</t>
  </si>
  <si>
    <t>2. Gruppen 3.</t>
  </si>
  <si>
    <t>1. Gruppen 3.</t>
  </si>
  <si>
    <t>SV 1930 Rosellen e.V.</t>
  </si>
  <si>
    <t>C-Jugend Turnier</t>
  </si>
  <si>
    <t>SV Rosellen 1</t>
  </si>
  <si>
    <t>SV Rosellen 2</t>
  </si>
  <si>
    <t>SV Rosellen 3</t>
  </si>
  <si>
    <t>DSC 99 Düsseldorf</t>
  </si>
  <si>
    <t>TuS Hackenbroich</t>
  </si>
  <si>
    <t>DJK Viktoria Frechen</t>
  </si>
  <si>
    <t>SV Nütterden</t>
  </si>
  <si>
    <t>1. FC Quadrath Ichendorf</t>
  </si>
  <si>
    <t>SC Blau-Weiß 06 Köln</t>
  </si>
  <si>
    <t>SG Orken-Noithausen</t>
  </si>
  <si>
    <t>Bezirkssportanlage Rosellen, Rosellener Schulstr. 11, 41470 Neuss</t>
  </si>
  <si>
    <t>SSV Strümp</t>
  </si>
  <si>
    <t>DJK Hoisten</t>
  </si>
  <si>
    <t>Grosser Dienstleistungen-Cup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</si>
</sst>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&quot;.&quot;"/>
    <numFmt numFmtId="166" formatCode="0\ &quot;:&quot;"/>
    <numFmt numFmtId="167" formatCode=";;;"/>
    <numFmt numFmtId="168" formatCode="0\ &quot;min&quot;"/>
    <numFmt numFmtId="169" formatCode="0;;\ &quot;min&quot;"/>
    <numFmt numFmtId="170" formatCode="&quot; Am&quot;\ dddd\,\ dd/mmmm\ \ yyyy"/>
    <numFmt numFmtId="171" formatCode="0.0"/>
    <numFmt numFmtId="172" formatCode="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22"/>
      <name val="Comic Sans MS"/>
      <family val="4"/>
    </font>
    <font>
      <sz val="10"/>
      <color indexed="22"/>
      <name val="Arial"/>
      <family val="0"/>
    </font>
    <font>
      <sz val="22"/>
      <color indexed="8"/>
      <name val="Comic Sans MS"/>
      <family val="4"/>
    </font>
    <font>
      <sz val="18"/>
      <name val="Comic Sans MS"/>
      <family val="4"/>
    </font>
    <font>
      <sz val="18"/>
      <color indexed="8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u val="single"/>
      <sz val="11"/>
      <color indexed="5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u val="single"/>
      <sz val="11"/>
      <color indexed="53"/>
      <name val="Arial"/>
      <family val="2"/>
    </font>
    <font>
      <sz val="8"/>
      <color indexed="8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1"/>
      <color indexed="9"/>
      <name val="Arial"/>
      <family val="0"/>
    </font>
    <font>
      <b/>
      <sz val="11"/>
      <color indexed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3" borderId="9" applyNumberFormat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Continuous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 hidden="1"/>
    </xf>
    <xf numFmtId="1" fontId="20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horizontal="lef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4" xfId="0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Alignment="1" applyProtection="1">
      <alignment vertical="center"/>
      <protection hidden="1"/>
    </xf>
    <xf numFmtId="0" fontId="24" fillId="0" borderId="0" xfId="0" applyNumberFormat="1" applyFont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65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9" fillId="0" borderId="1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169" fontId="11" fillId="0" borderId="0" xfId="0" applyNumberFormat="1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31" fillId="0" borderId="0" xfId="0" applyNumberFormat="1" applyFont="1" applyAlignment="1" applyProtection="1">
      <alignment horizontal="left" vertical="center"/>
      <protection hidden="1"/>
    </xf>
    <xf numFmtId="0" fontId="30" fillId="0" borderId="0" xfId="0" applyNumberFormat="1" applyFont="1" applyFill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7" xfId="51" applyFont="1" applyFill="1" applyBorder="1" applyAlignment="1" applyProtection="1">
      <alignment horizontal="center" vertical="center"/>
      <protection/>
    </xf>
    <xf numFmtId="0" fontId="0" fillId="0" borderId="17" xfId="51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17" xfId="51" applyFont="1" applyFill="1" applyBorder="1" applyProtection="1">
      <alignment/>
      <protection/>
    </xf>
    <xf numFmtId="0" fontId="0" fillId="0" borderId="0" xfId="51" applyFont="1" applyFill="1" applyProtection="1">
      <alignment/>
      <protection/>
    </xf>
    <xf numFmtId="0" fontId="0" fillId="0" borderId="17" xfId="0" applyBorder="1" applyAlignment="1">
      <alignment/>
    </xf>
    <xf numFmtId="0" fontId="0" fillId="0" borderId="18" xfId="51" applyFont="1" applyFill="1" applyBorder="1" applyAlignment="1" applyProtection="1">
      <alignment horizontal="left"/>
      <protection/>
    </xf>
    <xf numFmtId="0" fontId="0" fillId="34" borderId="17" xfId="51" applyFont="1" applyFill="1" applyBorder="1" applyAlignment="1" applyProtection="1">
      <alignment horizontal="center"/>
      <protection/>
    </xf>
    <xf numFmtId="0" fontId="0" fillId="0" borderId="17" xfId="51" applyFont="1" applyFill="1" applyBorder="1" applyAlignment="1" applyProtection="1">
      <alignment horizontal="center"/>
      <protection/>
    </xf>
    <xf numFmtId="0" fontId="0" fillId="0" borderId="18" xfId="51" applyFont="1" applyFill="1" applyBorder="1" applyProtection="1">
      <alignment/>
      <protection/>
    </xf>
    <xf numFmtId="0" fontId="0" fillId="0" borderId="17" xfId="51" applyFont="1" applyFill="1" applyBorder="1" applyAlignment="1" applyProtection="1">
      <alignment/>
      <protection/>
    </xf>
    <xf numFmtId="171" fontId="0" fillId="0" borderId="17" xfId="51" applyNumberFormat="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172" fontId="0" fillId="0" borderId="17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0" fillId="0" borderId="19" xfId="51" applyFont="1" applyFill="1" applyBorder="1" applyProtection="1">
      <alignment/>
      <protection/>
    </xf>
    <xf numFmtId="0" fontId="0" fillId="0" borderId="19" xfId="51" applyFont="1" applyFill="1" applyBorder="1" applyAlignment="1" applyProtection="1">
      <alignment horizontal="right"/>
      <protection/>
    </xf>
    <xf numFmtId="0" fontId="0" fillId="0" borderId="17" xfId="51" applyFont="1" applyFill="1" applyBorder="1" applyAlignment="1" applyProtection="1">
      <alignment horizontal="left"/>
      <protection/>
    </xf>
    <xf numFmtId="0" fontId="0" fillId="0" borderId="20" xfId="51" applyFont="1" applyFill="1" applyBorder="1" applyAlignment="1" applyProtection="1">
      <alignment horizontal="left"/>
      <protection/>
    </xf>
    <xf numFmtId="0" fontId="0" fillId="0" borderId="20" xfId="51" applyFont="1" applyFill="1" applyBorder="1" applyProtection="1">
      <alignment/>
      <protection/>
    </xf>
    <xf numFmtId="0" fontId="0" fillId="0" borderId="21" xfId="5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51" applyFont="1" applyFill="1" applyAlignment="1" applyProtection="1">
      <alignment textRotation="90"/>
      <protection/>
    </xf>
    <xf numFmtId="172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>
      <alignment/>
    </xf>
    <xf numFmtId="0" fontId="19" fillId="0" borderId="0" xfId="0" applyFont="1" applyAlignment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168" fontId="11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textRotation="90"/>
      <protection hidden="1"/>
    </xf>
    <xf numFmtId="165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center" vertical="center"/>
      <protection hidden="1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0" fontId="20" fillId="0" borderId="26" xfId="0" applyFont="1" applyFill="1" applyBorder="1" applyAlignment="1" applyProtection="1">
      <alignment horizontal="center" vertical="center"/>
      <protection hidden="1"/>
    </xf>
    <xf numFmtId="0" fontId="18" fillId="35" borderId="27" xfId="0" applyFont="1" applyFill="1" applyBorder="1" applyAlignment="1" applyProtection="1">
      <alignment horizontal="center" vertical="center"/>
      <protection hidden="1"/>
    </xf>
    <xf numFmtId="0" fontId="18" fillId="35" borderId="28" xfId="0" applyFont="1" applyFill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left" vertical="center" shrinkToFit="1"/>
      <protection hidden="1"/>
    </xf>
    <xf numFmtId="0" fontId="16" fillId="0" borderId="30" xfId="0" applyFont="1" applyBorder="1" applyAlignment="1" applyProtection="1">
      <alignment horizontal="left" vertical="center" shrinkToFit="1"/>
      <protection hidden="1"/>
    </xf>
    <xf numFmtId="0" fontId="16" fillId="0" borderId="31" xfId="0" applyFont="1" applyBorder="1" applyAlignment="1" applyProtection="1">
      <alignment horizontal="left" vertical="center" shrinkToFit="1"/>
      <protection hidden="1"/>
    </xf>
    <xf numFmtId="0" fontId="16" fillId="0" borderId="32" xfId="0" applyFont="1" applyBorder="1" applyAlignment="1" applyProtection="1">
      <alignment horizontal="left" vertical="center" shrinkToFit="1"/>
      <protection hidden="1"/>
    </xf>
    <xf numFmtId="165" fontId="16" fillId="0" borderId="33" xfId="0" applyNumberFormat="1" applyFont="1" applyBorder="1" applyAlignment="1" applyProtection="1">
      <alignment horizontal="center" vertical="center"/>
      <protection hidden="1"/>
    </xf>
    <xf numFmtId="165" fontId="16" fillId="0" borderId="18" xfId="0" applyNumberFormat="1" applyFont="1" applyBorder="1" applyAlignment="1" applyProtection="1">
      <alignment horizontal="center" vertical="center"/>
      <protection hidden="1"/>
    </xf>
    <xf numFmtId="165" fontId="16" fillId="0" borderId="34" xfId="0" applyNumberFormat="1" applyFont="1" applyBorder="1" applyAlignment="1" applyProtection="1">
      <alignment horizontal="center" vertical="center"/>
      <protection hidden="1"/>
    </xf>
    <xf numFmtId="165" fontId="16" fillId="0" borderId="20" xfId="0" applyNumberFormat="1" applyFont="1" applyBorder="1" applyAlignment="1" applyProtection="1">
      <alignment horizontal="center" vertical="center"/>
      <protection hidden="1"/>
    </xf>
    <xf numFmtId="0" fontId="20" fillId="36" borderId="35" xfId="0" applyFont="1" applyFill="1" applyBorder="1" applyAlignment="1" applyProtection="1">
      <alignment horizontal="center" vertical="center"/>
      <protection hidden="1"/>
    </xf>
    <xf numFmtId="0" fontId="20" fillId="36" borderId="11" xfId="0" applyFont="1" applyFill="1" applyBorder="1" applyAlignment="1" applyProtection="1">
      <alignment horizontal="center" vertical="center"/>
      <protection hidden="1"/>
    </xf>
    <xf numFmtId="0" fontId="20" fillId="36" borderId="36" xfId="0" applyFont="1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0" fillId="0" borderId="35" xfId="0" applyFont="1" applyFill="1" applyBorder="1" applyAlignment="1" applyProtection="1">
      <alignment horizontal="left" vertical="center" shrinkToFit="1"/>
      <protection hidden="1"/>
    </xf>
    <xf numFmtId="0" fontId="20" fillId="0" borderId="11" xfId="0" applyFont="1" applyFill="1" applyBorder="1" applyAlignment="1" applyProtection="1">
      <alignment horizontal="left" vertical="center" shrinkToFit="1"/>
      <protection hidden="1"/>
    </xf>
    <xf numFmtId="165" fontId="20" fillId="0" borderId="37" xfId="0" applyNumberFormat="1" applyFont="1" applyBorder="1" applyAlignment="1" applyProtection="1">
      <alignment horizontal="center" vertical="center"/>
      <protection hidden="1"/>
    </xf>
    <xf numFmtId="165" fontId="20" fillId="0" borderId="38" xfId="0" applyNumberFormat="1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left" vertical="center" shrinkToFit="1"/>
      <protection hidden="1"/>
    </xf>
    <xf numFmtId="0" fontId="20" fillId="0" borderId="40" xfId="0" applyFont="1" applyBorder="1" applyAlignment="1" applyProtection="1">
      <alignment horizontal="left" vertical="center" shrinkToFit="1"/>
      <protection hidden="1"/>
    </xf>
    <xf numFmtId="0" fontId="20" fillId="0" borderId="41" xfId="0" applyFont="1" applyBorder="1" applyAlignment="1" applyProtection="1">
      <alignment horizontal="left" vertical="center" shrinkToFit="1"/>
      <protection hidden="1"/>
    </xf>
    <xf numFmtId="0" fontId="20" fillId="0" borderId="42" xfId="0" applyFont="1" applyBorder="1" applyAlignment="1" applyProtection="1">
      <alignment horizontal="left" vertical="center" shrinkToFit="1"/>
      <protection hidden="1"/>
    </xf>
    <xf numFmtId="0" fontId="20" fillId="0" borderId="42" xfId="0" applyFont="1" applyBorder="1" applyAlignment="1" applyProtection="1">
      <alignment horizontal="center" vertical="center" shrinkToFit="1"/>
      <protection hidden="1"/>
    </xf>
    <xf numFmtId="0" fontId="20" fillId="0" borderId="43" xfId="0" applyFont="1" applyBorder="1" applyAlignment="1" applyProtection="1">
      <alignment horizontal="center" vertical="center" shrinkToFit="1"/>
      <protection hidden="1"/>
    </xf>
    <xf numFmtId="0" fontId="20" fillId="34" borderId="44" xfId="0" applyFont="1" applyFill="1" applyBorder="1" applyAlignment="1" applyProtection="1">
      <alignment horizontal="center" vertical="center" shrinkToFit="1"/>
      <protection hidden="1"/>
    </xf>
    <xf numFmtId="0" fontId="20" fillId="34" borderId="45" xfId="0" applyFont="1" applyFill="1" applyBorder="1" applyAlignment="1" applyProtection="1">
      <alignment horizontal="center" vertical="center" shrinkToFit="1"/>
      <protection hidden="1"/>
    </xf>
    <xf numFmtId="0" fontId="20" fillId="37" borderId="46" xfId="0" applyFont="1" applyFill="1" applyBorder="1" applyAlignment="1" applyProtection="1">
      <alignment horizontal="center" textRotation="90"/>
      <protection hidden="1"/>
    </xf>
    <xf numFmtId="0" fontId="20" fillId="37" borderId="47" xfId="0" applyFont="1" applyFill="1" applyBorder="1" applyAlignment="1" applyProtection="1">
      <alignment horizontal="center" textRotation="90"/>
      <protection hidden="1"/>
    </xf>
    <xf numFmtId="0" fontId="20" fillId="37" borderId="48" xfId="0" applyFont="1" applyFill="1" applyBorder="1" applyAlignment="1" applyProtection="1">
      <alignment horizontal="center" textRotation="90"/>
      <protection hidden="1"/>
    </xf>
    <xf numFmtId="0" fontId="20" fillId="37" borderId="19" xfId="0" applyFont="1" applyFill="1" applyBorder="1" applyAlignment="1" applyProtection="1">
      <alignment horizontal="center" textRotation="90"/>
      <protection hidden="1"/>
    </xf>
    <xf numFmtId="0" fontId="20" fillId="37" borderId="49" xfId="0" applyFont="1" applyFill="1" applyBorder="1" applyAlignment="1" applyProtection="1">
      <alignment horizontal="center" textRotation="90"/>
      <protection hidden="1"/>
    </xf>
    <xf numFmtId="0" fontId="20" fillId="37" borderId="50" xfId="0" applyFont="1" applyFill="1" applyBorder="1" applyAlignment="1" applyProtection="1">
      <alignment horizontal="center" textRotation="90"/>
      <protection hidden="1"/>
    </xf>
    <xf numFmtId="0" fontId="20" fillId="38" borderId="51" xfId="0" applyFont="1" applyFill="1" applyBorder="1" applyAlignment="1" applyProtection="1">
      <alignment horizontal="center" vertical="center"/>
      <protection hidden="1"/>
    </xf>
    <xf numFmtId="0" fontId="20" fillId="38" borderId="13" xfId="0" applyFont="1" applyFill="1" applyBorder="1" applyAlignment="1" applyProtection="1">
      <alignment horizontal="center" vertical="center"/>
      <protection hidden="1"/>
    </xf>
    <xf numFmtId="0" fontId="20" fillId="38" borderId="38" xfId="0" applyFont="1" applyFill="1" applyBorder="1" applyAlignment="1" applyProtection="1">
      <alignment horizontal="center" vertical="center"/>
      <protection hidden="1"/>
    </xf>
    <xf numFmtId="0" fontId="16" fillId="0" borderId="52" xfId="0" applyFont="1" applyBorder="1" applyAlignment="1" applyProtection="1">
      <alignment horizontal="left" vertical="center" shrinkToFit="1"/>
      <protection hidden="1"/>
    </xf>
    <xf numFmtId="0" fontId="16" fillId="0" borderId="53" xfId="0" applyFont="1" applyBorder="1" applyAlignment="1" applyProtection="1">
      <alignment horizontal="left" vertical="center" shrinkToFit="1"/>
      <protection hidden="1"/>
    </xf>
    <xf numFmtId="0" fontId="18" fillId="34" borderId="54" xfId="0" applyFont="1" applyFill="1" applyBorder="1" applyAlignment="1" applyProtection="1">
      <alignment horizontal="center" vertical="center"/>
      <protection hidden="1"/>
    </xf>
    <xf numFmtId="0" fontId="18" fillId="34" borderId="27" xfId="0" applyFont="1" applyFill="1" applyBorder="1" applyAlignment="1" applyProtection="1">
      <alignment horizontal="center" vertical="center"/>
      <protection hidden="1"/>
    </xf>
    <xf numFmtId="0" fontId="18" fillId="34" borderId="28" xfId="0" applyFont="1" applyFill="1" applyBorder="1" applyAlignment="1" applyProtection="1">
      <alignment horizontal="center" vertical="center"/>
      <protection hidden="1"/>
    </xf>
    <xf numFmtId="0" fontId="20" fillId="36" borderId="51" xfId="0" applyFont="1" applyFill="1" applyBorder="1" applyAlignment="1" applyProtection="1">
      <alignment horizontal="center" vertical="center"/>
      <protection hidden="1"/>
    </xf>
    <xf numFmtId="0" fontId="20" fillId="36" borderId="13" xfId="0" applyFont="1" applyFill="1" applyBorder="1" applyAlignment="1" applyProtection="1">
      <alignment horizontal="center" vertical="center"/>
      <protection hidden="1"/>
    </xf>
    <xf numFmtId="0" fontId="20" fillId="36" borderId="38" xfId="0" applyFont="1" applyFill="1" applyBorder="1" applyAlignment="1" applyProtection="1">
      <alignment horizontal="center" vertical="center"/>
      <protection hidden="1"/>
    </xf>
    <xf numFmtId="0" fontId="20" fillId="37" borderId="35" xfId="0" applyFont="1" applyFill="1" applyBorder="1" applyAlignment="1" applyProtection="1">
      <alignment horizontal="center" vertical="center"/>
      <protection hidden="1"/>
    </xf>
    <xf numFmtId="0" fontId="20" fillId="37" borderId="11" xfId="0" applyFont="1" applyFill="1" applyBorder="1" applyAlignment="1" applyProtection="1">
      <alignment horizontal="center" vertical="center"/>
      <protection hidden="1"/>
    </xf>
    <xf numFmtId="0" fontId="20" fillId="37" borderId="36" xfId="0" applyFont="1" applyFill="1" applyBorder="1" applyAlignment="1" applyProtection="1">
      <alignment horizontal="center" vertical="center"/>
      <protection hidden="1"/>
    </xf>
    <xf numFmtId="0" fontId="20" fillId="37" borderId="51" xfId="0" applyFont="1" applyFill="1" applyBorder="1" applyAlignment="1" applyProtection="1">
      <alignment horizontal="center" vertical="center"/>
      <protection hidden="1"/>
    </xf>
    <xf numFmtId="0" fontId="20" fillId="37" borderId="13" xfId="0" applyFont="1" applyFill="1" applyBorder="1" applyAlignment="1" applyProtection="1">
      <alignment horizontal="center" vertical="center"/>
      <protection hidden="1"/>
    </xf>
    <xf numFmtId="0" fontId="20" fillId="37" borderId="38" xfId="0" applyFont="1" applyFill="1" applyBorder="1" applyAlignment="1" applyProtection="1">
      <alignment horizontal="center" vertical="center"/>
      <protection hidden="1"/>
    </xf>
    <xf numFmtId="0" fontId="20" fillId="38" borderId="35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0" fillId="38" borderId="36" xfId="0" applyFont="1" applyFill="1" applyBorder="1" applyAlignment="1" applyProtection="1">
      <alignment horizontal="center" vertical="center"/>
      <protection hidden="1"/>
    </xf>
    <xf numFmtId="165" fontId="16" fillId="0" borderId="43" xfId="0" applyNumberFormat="1" applyFont="1" applyBorder="1" applyAlignment="1" applyProtection="1">
      <alignment horizontal="center" vertical="center"/>
      <protection hidden="1"/>
    </xf>
    <xf numFmtId="165" fontId="16" fillId="0" borderId="17" xfId="0" applyNumberFormat="1" applyFont="1" applyBorder="1" applyAlignment="1" applyProtection="1">
      <alignment horizontal="center" vertical="center"/>
      <protection hidden="1"/>
    </xf>
    <xf numFmtId="165" fontId="16" fillId="0" borderId="48" xfId="0" applyNumberFormat="1" applyFont="1" applyBorder="1" applyAlignment="1" applyProtection="1">
      <alignment horizontal="center" vertical="center"/>
      <protection hidden="1"/>
    </xf>
    <xf numFmtId="165" fontId="16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8" fillId="35" borderId="55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51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1" fontId="20" fillId="0" borderId="21" xfId="0" applyNumberFormat="1" applyFont="1" applyBorder="1" applyAlignment="1" applyProtection="1">
      <alignment horizontal="center" vertical="center"/>
      <protection hidden="1"/>
    </xf>
    <xf numFmtId="1" fontId="20" fillId="0" borderId="12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165" fontId="16" fillId="0" borderId="49" xfId="0" applyNumberFormat="1" applyFont="1" applyBorder="1" applyAlignment="1" applyProtection="1">
      <alignment horizontal="center" vertical="center"/>
      <protection hidden="1"/>
    </xf>
    <xf numFmtId="165" fontId="16" fillId="0" borderId="50" xfId="0" applyNumberFormat="1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left" vertical="center" shrinkToFit="1"/>
      <protection hidden="1"/>
    </xf>
    <xf numFmtId="0" fontId="16" fillId="0" borderId="58" xfId="0" applyFont="1" applyBorder="1" applyAlignment="1" applyProtection="1">
      <alignment horizontal="left" vertical="center" shrinkToFit="1"/>
      <protection hidden="1"/>
    </xf>
    <xf numFmtId="0" fontId="20" fillId="0" borderId="59" xfId="0" applyFont="1" applyFill="1" applyBorder="1" applyAlignment="1" applyProtection="1">
      <alignment horizontal="center" vertical="center"/>
      <protection hidden="1"/>
    </xf>
    <xf numFmtId="0" fontId="20" fillId="0" borderId="60" xfId="0" applyFont="1" applyFill="1" applyBorder="1" applyAlignment="1" applyProtection="1">
      <alignment horizontal="center" vertical="center"/>
      <protection hidden="1"/>
    </xf>
    <xf numFmtId="0" fontId="18" fillId="39" borderId="55" xfId="0" applyFont="1" applyFill="1" applyBorder="1" applyAlignment="1" applyProtection="1">
      <alignment horizontal="center" vertical="center"/>
      <protection hidden="1"/>
    </xf>
    <xf numFmtId="0" fontId="18" fillId="39" borderId="28" xfId="0" applyFont="1" applyFill="1" applyBorder="1" applyAlignment="1" applyProtection="1">
      <alignment horizontal="center" vertical="center"/>
      <protection hidden="1"/>
    </xf>
    <xf numFmtId="0" fontId="18" fillId="39" borderId="27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5" fontId="20" fillId="0" borderId="61" xfId="0" applyNumberFormat="1" applyFont="1" applyBorder="1" applyAlignment="1" applyProtection="1">
      <alignment horizontal="center" vertical="center"/>
      <protection hidden="1"/>
    </xf>
    <xf numFmtId="165" fontId="20" fillId="0" borderId="56" xfId="0" applyNumberFormat="1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21" fillId="40" borderId="54" xfId="0" applyFont="1" applyFill="1" applyBorder="1" applyAlignment="1" applyProtection="1">
      <alignment horizontal="center" vertical="center"/>
      <protection hidden="1"/>
    </xf>
    <xf numFmtId="0" fontId="21" fillId="40" borderId="27" xfId="0" applyFont="1" applyFill="1" applyBorder="1" applyAlignment="1" applyProtection="1">
      <alignment horizontal="center" vertical="center"/>
      <protection hidden="1"/>
    </xf>
    <xf numFmtId="0" fontId="21" fillId="40" borderId="64" xfId="0" applyFont="1" applyFill="1" applyBorder="1" applyAlignment="1" applyProtection="1">
      <alignment horizontal="center" vertical="center"/>
      <protection hidden="1"/>
    </xf>
    <xf numFmtId="0" fontId="21" fillId="35" borderId="54" xfId="0" applyFont="1" applyFill="1" applyBorder="1" applyAlignment="1" applyProtection="1">
      <alignment horizontal="center" vertical="center"/>
      <protection hidden="1"/>
    </xf>
    <xf numFmtId="0" fontId="21" fillId="35" borderId="27" xfId="0" applyFont="1" applyFill="1" applyBorder="1" applyAlignment="1" applyProtection="1">
      <alignment horizontal="center" vertical="center"/>
      <protection hidden="1"/>
    </xf>
    <xf numFmtId="0" fontId="21" fillId="35" borderId="64" xfId="0" applyFont="1" applyFill="1" applyBorder="1" applyAlignment="1" applyProtection="1">
      <alignment horizontal="center" vertical="center"/>
      <protection hidden="1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164" fontId="20" fillId="0" borderId="14" xfId="0" applyNumberFormat="1" applyFont="1" applyFill="1" applyBorder="1" applyAlignment="1" applyProtection="1">
      <alignment horizontal="center" vertical="center"/>
      <protection hidden="1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0" fontId="18" fillId="39" borderId="54" xfId="0" applyFont="1" applyFill="1" applyBorder="1" applyAlignment="1" applyProtection="1">
      <alignment horizontal="center" vertical="center"/>
      <protection hidden="1"/>
    </xf>
    <xf numFmtId="166" fontId="20" fillId="0" borderId="35" xfId="0" applyNumberFormat="1" applyFont="1" applyFill="1" applyBorder="1" applyAlignment="1" applyProtection="1">
      <alignment horizontal="right" vertical="center"/>
      <protection locked="0"/>
    </xf>
    <xf numFmtId="166" fontId="20" fillId="0" borderId="11" xfId="0" applyNumberFormat="1" applyFont="1" applyFill="1" applyBorder="1" applyAlignment="1" applyProtection="1">
      <alignment horizontal="right" vertical="center"/>
      <protection locked="0"/>
    </xf>
    <xf numFmtId="168" fontId="11" fillId="0" borderId="0" xfId="0" applyNumberFormat="1" applyFont="1" applyBorder="1" applyAlignment="1" applyProtection="1">
      <alignment horizontal="left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left" vertical="center" shrinkToFit="1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18" fillId="32" borderId="54" xfId="0" applyFont="1" applyFill="1" applyBorder="1" applyAlignment="1" applyProtection="1">
      <alignment horizontal="center" vertical="center"/>
      <protection hidden="1"/>
    </xf>
    <xf numFmtId="0" fontId="18" fillId="32" borderId="27" xfId="0" applyFont="1" applyFill="1" applyBorder="1" applyAlignment="1" applyProtection="1">
      <alignment horizontal="center" vertical="center"/>
      <protection hidden="1"/>
    </xf>
    <xf numFmtId="0" fontId="18" fillId="32" borderId="28" xfId="0" applyFont="1" applyFill="1" applyBorder="1" applyAlignment="1" applyProtection="1">
      <alignment horizontal="center" vertical="center"/>
      <protection hidden="1"/>
    </xf>
    <xf numFmtId="0" fontId="21" fillId="32" borderId="54" xfId="0" applyFont="1" applyFill="1" applyBorder="1" applyAlignment="1" applyProtection="1">
      <alignment horizontal="center" vertical="center"/>
      <protection hidden="1"/>
    </xf>
    <xf numFmtId="0" fontId="21" fillId="32" borderId="27" xfId="0" applyFont="1" applyFill="1" applyBorder="1" applyAlignment="1" applyProtection="1">
      <alignment horizontal="center" vertical="center"/>
      <protection hidden="1"/>
    </xf>
    <xf numFmtId="0" fontId="21" fillId="32" borderId="64" xfId="0" applyFont="1" applyFill="1" applyBorder="1" applyAlignment="1" applyProtection="1">
      <alignment horizontal="center" vertical="center"/>
      <protection hidden="1"/>
    </xf>
    <xf numFmtId="0" fontId="21" fillId="39" borderId="54" xfId="0" applyFont="1" applyFill="1" applyBorder="1" applyAlignment="1" applyProtection="1">
      <alignment horizontal="center" vertical="center"/>
      <protection hidden="1"/>
    </xf>
    <xf numFmtId="0" fontId="21" fillId="39" borderId="27" xfId="0" applyFont="1" applyFill="1" applyBorder="1" applyAlignment="1" applyProtection="1">
      <alignment horizontal="center" vertical="center"/>
      <protection hidden="1"/>
    </xf>
    <xf numFmtId="0" fontId="21" fillId="39" borderId="64" xfId="0" applyFont="1" applyFill="1" applyBorder="1" applyAlignment="1" applyProtection="1">
      <alignment horizontal="center" vertical="center"/>
      <protection hidden="1"/>
    </xf>
    <xf numFmtId="170" fontId="11" fillId="0" borderId="0" xfId="0" applyNumberFormat="1" applyFont="1" applyAlignment="1" applyProtection="1">
      <alignment horizontal="center" vertical="center"/>
      <protection locked="0"/>
    </xf>
    <xf numFmtId="0" fontId="20" fillId="0" borderId="51" xfId="0" applyFont="1" applyFill="1" applyBorder="1" applyAlignment="1" applyProtection="1">
      <alignment horizontal="left" vertical="center" shrinkToFit="1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8" fontId="11" fillId="0" borderId="0" xfId="0" applyNumberFormat="1" applyFont="1" applyBorder="1" applyAlignment="1" applyProtection="1">
      <alignment horizontal="left" vertical="center"/>
      <protection locked="0"/>
    </xf>
    <xf numFmtId="168" fontId="11" fillId="0" borderId="0" xfId="0" applyNumberFormat="1" applyFont="1" applyBorder="1" applyAlignment="1" applyProtection="1">
      <alignment horizontal="center" vertical="center"/>
      <protection locked="0"/>
    </xf>
    <xf numFmtId="0" fontId="20" fillId="36" borderId="47" xfId="0" applyFont="1" applyFill="1" applyBorder="1" applyAlignment="1" applyProtection="1">
      <alignment horizontal="center" textRotation="90"/>
      <protection hidden="1"/>
    </xf>
    <xf numFmtId="0" fontId="20" fillId="36" borderId="65" xfId="0" applyFont="1" applyFill="1" applyBorder="1" applyAlignment="1" applyProtection="1">
      <alignment horizontal="center" textRotation="90"/>
      <protection hidden="1"/>
    </xf>
    <xf numFmtId="0" fontId="20" fillId="36" borderId="19" xfId="0" applyFont="1" applyFill="1" applyBorder="1" applyAlignment="1" applyProtection="1">
      <alignment horizontal="center" textRotation="90"/>
      <protection hidden="1"/>
    </xf>
    <xf numFmtId="0" fontId="20" fillId="36" borderId="66" xfId="0" applyFont="1" applyFill="1" applyBorder="1" applyAlignment="1" applyProtection="1">
      <alignment horizontal="center" textRotation="90"/>
      <protection hidden="1"/>
    </xf>
    <xf numFmtId="0" fontId="20" fillId="36" borderId="50" xfId="0" applyFont="1" applyFill="1" applyBorder="1" applyAlignment="1" applyProtection="1">
      <alignment horizontal="center" textRotation="90"/>
      <protection hidden="1"/>
    </xf>
    <xf numFmtId="0" fontId="20" fillId="36" borderId="67" xfId="0" applyFont="1" applyFill="1" applyBorder="1" applyAlignment="1" applyProtection="1">
      <alignment horizontal="center" textRotation="90"/>
      <protection hidden="1"/>
    </xf>
    <xf numFmtId="20" fontId="20" fillId="0" borderId="51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3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0" fontId="20" fillId="0" borderId="35" xfId="0" applyNumberFormat="1" applyFont="1" applyFill="1" applyBorder="1" applyAlignment="1" applyProtection="1">
      <alignment horizontal="center" vertical="center"/>
      <protection hidden="1"/>
    </xf>
    <xf numFmtId="20" fontId="20" fillId="0" borderId="11" xfId="0" applyNumberFormat="1" applyFont="1" applyFill="1" applyBorder="1" applyAlignment="1" applyProtection="1">
      <alignment horizontal="center" vertical="center"/>
      <protection hidden="1"/>
    </xf>
    <xf numFmtId="20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20" fillId="0" borderId="38" xfId="0" applyFont="1" applyFill="1" applyBorder="1" applyAlignment="1" applyProtection="1">
      <alignment horizontal="left" vertical="center" shrinkToFit="1"/>
      <protection hidden="1"/>
    </xf>
    <xf numFmtId="166" fontId="20" fillId="0" borderId="51" xfId="0" applyNumberFormat="1" applyFont="1" applyFill="1" applyBorder="1" applyAlignment="1" applyProtection="1">
      <alignment horizontal="right" vertical="center"/>
      <protection locked="0"/>
    </xf>
    <xf numFmtId="166" fontId="20" fillId="0" borderId="13" xfId="0" applyNumberFormat="1" applyFont="1" applyFill="1" applyBorder="1" applyAlignment="1" applyProtection="1">
      <alignment horizontal="right" vertical="center"/>
      <protection locked="0"/>
    </xf>
    <xf numFmtId="170" fontId="13" fillId="0" borderId="0" xfId="0" applyNumberFormat="1" applyFont="1" applyAlignment="1" applyProtection="1">
      <alignment horizontal="center" vertical="center"/>
      <protection locked="0"/>
    </xf>
    <xf numFmtId="0" fontId="18" fillId="32" borderId="55" xfId="0" applyFont="1" applyFill="1" applyBorder="1" applyAlignment="1" applyProtection="1">
      <alignment horizontal="center" vertical="center"/>
      <protection hidden="1"/>
    </xf>
    <xf numFmtId="165" fontId="20" fillId="0" borderId="12" xfId="0" applyNumberFormat="1" applyFont="1" applyBorder="1" applyAlignment="1" applyProtection="1">
      <alignment horizontal="center" vertical="center"/>
      <protection hidden="1"/>
    </xf>
    <xf numFmtId="0" fontId="20" fillId="0" borderId="51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38" xfId="0" applyFont="1" applyBorder="1" applyAlignment="1" applyProtection="1">
      <alignment horizontal="left" vertical="center" shrinkToFit="1"/>
      <protection hidden="1"/>
    </xf>
    <xf numFmtId="0" fontId="22" fillId="0" borderId="38" xfId="0" applyFont="1" applyBorder="1" applyAlignment="1" applyProtection="1">
      <alignment horizontal="center" vertical="center"/>
      <protection hidden="1"/>
    </xf>
    <xf numFmtId="0" fontId="20" fillId="0" borderId="68" xfId="0" applyFont="1" applyFill="1" applyBorder="1" applyAlignment="1" applyProtection="1">
      <alignment horizontal="center" vertical="center"/>
      <protection hidden="1"/>
    </xf>
    <xf numFmtId="0" fontId="20" fillId="0" borderId="36" xfId="0" applyFont="1" applyFill="1" applyBorder="1" applyAlignment="1" applyProtection="1">
      <alignment horizontal="center" vertical="center"/>
      <protection hidden="1"/>
    </xf>
    <xf numFmtId="0" fontId="18" fillId="40" borderId="55" xfId="0" applyFont="1" applyFill="1" applyBorder="1" applyAlignment="1" applyProtection="1">
      <alignment horizontal="center" vertical="center"/>
      <protection hidden="1"/>
    </xf>
    <xf numFmtId="0" fontId="18" fillId="40" borderId="28" xfId="0" applyFont="1" applyFill="1" applyBorder="1" applyAlignment="1" applyProtection="1">
      <alignment horizontal="center" vertical="center"/>
      <protection hidden="1"/>
    </xf>
    <xf numFmtId="0" fontId="18" fillId="40" borderId="27" xfId="0" applyFont="1" applyFill="1" applyBorder="1" applyAlignment="1" applyProtection="1">
      <alignment horizontal="center" vertical="center"/>
      <protection hidden="1"/>
    </xf>
    <xf numFmtId="0" fontId="20" fillId="0" borderId="69" xfId="0" applyFont="1" applyBorder="1" applyAlignment="1" applyProtection="1">
      <alignment horizontal="left" vertical="center" shrinkToFit="1"/>
      <protection hidden="1"/>
    </xf>
    <xf numFmtId="0" fontId="20" fillId="0" borderId="44" xfId="0" applyFont="1" applyBorder="1" applyAlignment="1" applyProtection="1">
      <alignment horizontal="left" vertical="center" shrinkToFit="1"/>
      <protection hidden="1"/>
    </xf>
    <xf numFmtId="0" fontId="20" fillId="0" borderId="17" xfId="0" applyFont="1" applyBorder="1" applyAlignment="1" applyProtection="1">
      <alignment horizontal="center" vertical="center" shrinkToFit="1"/>
      <protection hidden="1"/>
    </xf>
    <xf numFmtId="0" fontId="20" fillId="0" borderId="41" xfId="0" applyFont="1" applyBorder="1" applyAlignment="1" applyProtection="1">
      <alignment horizontal="center" vertical="center" shrinkToFit="1"/>
      <protection hidden="1"/>
    </xf>
    <xf numFmtId="0" fontId="18" fillId="36" borderId="27" xfId="0" applyFont="1" applyFill="1" applyBorder="1" applyAlignment="1" applyProtection="1">
      <alignment horizontal="center" vertical="center"/>
      <protection hidden="1"/>
    </xf>
    <xf numFmtId="0" fontId="18" fillId="36" borderId="28" xfId="0" applyFont="1" applyFill="1" applyBorder="1" applyAlignment="1" applyProtection="1">
      <alignment horizontal="center" vertical="center"/>
      <protection hidden="1"/>
    </xf>
    <xf numFmtId="0" fontId="20" fillId="0" borderId="69" xfId="0" applyFont="1" applyBorder="1" applyAlignment="1" applyProtection="1">
      <alignment horizontal="center" vertical="center" shrinkToFit="1"/>
      <protection hidden="1"/>
    </xf>
    <xf numFmtId="0" fontId="20" fillId="0" borderId="44" xfId="0" applyFont="1" applyBorder="1" applyAlignment="1" applyProtection="1">
      <alignment horizontal="center" vertical="center" shrinkToFit="1"/>
      <protection hidden="1"/>
    </xf>
    <xf numFmtId="0" fontId="20" fillId="0" borderId="70" xfId="0" applyFont="1" applyBorder="1" applyAlignment="1" applyProtection="1">
      <alignment horizontal="center" vertical="center" shrinkToFit="1"/>
      <protection hidden="1"/>
    </xf>
    <xf numFmtId="0" fontId="20" fillId="0" borderId="40" xfId="0" applyFont="1" applyBorder="1" applyAlignment="1" applyProtection="1">
      <alignment horizontal="center" vertical="center" shrinkToFit="1"/>
      <protection hidden="1"/>
    </xf>
    <xf numFmtId="0" fontId="20" fillId="0" borderId="71" xfId="0" applyFont="1" applyBorder="1" applyAlignment="1" applyProtection="1">
      <alignment horizontal="center" vertical="center" shrinkToFit="1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0" fillId="36" borderId="46" xfId="0" applyFont="1" applyFill="1" applyBorder="1" applyAlignment="1" applyProtection="1">
      <alignment horizontal="center" textRotation="90"/>
      <protection hidden="1"/>
    </xf>
    <xf numFmtId="0" fontId="20" fillId="36" borderId="48" xfId="0" applyFont="1" applyFill="1" applyBorder="1" applyAlignment="1" applyProtection="1">
      <alignment horizontal="center" textRotation="90"/>
      <protection hidden="1"/>
    </xf>
    <xf numFmtId="0" fontId="20" fillId="36" borderId="49" xfId="0" applyFont="1" applyFill="1" applyBorder="1" applyAlignment="1" applyProtection="1">
      <alignment horizontal="center" textRotation="90"/>
      <protection hidden="1"/>
    </xf>
    <xf numFmtId="0" fontId="20" fillId="0" borderId="37" xfId="0" applyFont="1" applyFill="1" applyBorder="1" applyAlignment="1" applyProtection="1">
      <alignment horizontal="center" vertical="center"/>
      <protection hidden="1"/>
    </xf>
    <xf numFmtId="0" fontId="20" fillId="0" borderId="38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18" fillId="37" borderId="54" xfId="0" applyFont="1" applyFill="1" applyBorder="1" applyAlignment="1" applyProtection="1">
      <alignment horizontal="center" vertical="center"/>
      <protection hidden="1"/>
    </xf>
    <xf numFmtId="0" fontId="18" fillId="37" borderId="27" xfId="0" applyFont="1" applyFill="1" applyBorder="1" applyAlignment="1" applyProtection="1">
      <alignment horizontal="center" vertical="center"/>
      <protection hidden="1"/>
    </xf>
    <xf numFmtId="0" fontId="18" fillId="37" borderId="64" xfId="0" applyFont="1" applyFill="1" applyBorder="1" applyAlignment="1" applyProtection="1">
      <alignment horizontal="center" vertical="center"/>
      <protection hidden="1"/>
    </xf>
    <xf numFmtId="0" fontId="20" fillId="0" borderId="73" xfId="0" applyFont="1" applyBorder="1" applyAlignment="1" applyProtection="1">
      <alignment horizontal="center" vertical="center" shrinkToFit="1"/>
      <protection hidden="1"/>
    </xf>
    <xf numFmtId="1" fontId="20" fillId="0" borderId="17" xfId="0" applyNumberFormat="1" applyFont="1" applyBorder="1" applyAlignment="1" applyProtection="1">
      <alignment horizontal="center" vertical="center"/>
      <protection hidden="1"/>
    </xf>
    <xf numFmtId="0" fontId="20" fillId="0" borderId="73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1" fontId="20" fillId="0" borderId="73" xfId="0" applyNumberFormat="1" applyFont="1" applyBorder="1" applyAlignment="1" applyProtection="1">
      <alignment horizontal="center" vertical="center"/>
      <protection hidden="1"/>
    </xf>
    <xf numFmtId="1" fontId="20" fillId="0" borderId="51" xfId="0" applyNumberFormat="1" applyFont="1" applyBorder="1" applyAlignment="1" applyProtection="1">
      <alignment horizontal="center" vertical="center"/>
      <protection hidden="1"/>
    </xf>
    <xf numFmtId="0" fontId="20" fillId="37" borderId="65" xfId="0" applyFont="1" applyFill="1" applyBorder="1" applyAlignment="1" applyProtection="1">
      <alignment horizontal="center" textRotation="90"/>
      <protection hidden="1"/>
    </xf>
    <xf numFmtId="0" fontId="20" fillId="37" borderId="66" xfId="0" applyFont="1" applyFill="1" applyBorder="1" applyAlignment="1" applyProtection="1">
      <alignment horizontal="center" textRotation="90"/>
      <protection hidden="1"/>
    </xf>
    <xf numFmtId="0" fontId="20" fillId="37" borderId="67" xfId="0" applyFont="1" applyFill="1" applyBorder="1" applyAlignment="1" applyProtection="1">
      <alignment horizontal="center" textRotation="90"/>
      <protection hidden="1"/>
    </xf>
    <xf numFmtId="0" fontId="16" fillId="0" borderId="21" xfId="0" applyFont="1" applyBorder="1" applyAlignment="1" applyProtection="1">
      <alignment horizontal="left" vertical="center" shrinkToFit="1"/>
      <protection hidden="1"/>
    </xf>
    <xf numFmtId="0" fontId="16" fillId="0" borderId="12" xfId="0" applyFont="1" applyBorder="1" applyAlignment="1" applyProtection="1">
      <alignment horizontal="left" vertical="center" shrinkToFit="1"/>
      <protection hidden="1"/>
    </xf>
    <xf numFmtId="0" fontId="16" fillId="0" borderId="72" xfId="0" applyFont="1" applyBorder="1" applyAlignment="1" applyProtection="1">
      <alignment horizontal="left" vertical="center" shrinkToFit="1"/>
      <protection hidden="1"/>
    </xf>
    <xf numFmtId="0" fontId="18" fillId="36" borderId="54" xfId="0" applyFont="1" applyFill="1" applyBorder="1" applyAlignment="1" applyProtection="1">
      <alignment horizontal="center" vertical="center"/>
      <protection hidden="1"/>
    </xf>
    <xf numFmtId="0" fontId="18" fillId="36" borderId="64" xfId="0" applyFont="1" applyFill="1" applyBorder="1" applyAlignment="1" applyProtection="1">
      <alignment horizontal="center" vertical="center"/>
      <protection hidden="1"/>
    </xf>
    <xf numFmtId="0" fontId="20" fillId="0" borderId="51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20" fillId="0" borderId="38" xfId="0" applyFont="1" applyBorder="1" applyAlignment="1" applyProtection="1">
      <alignment horizontal="center" vertical="center" shrinkToFit="1"/>
      <protection hidden="1"/>
    </xf>
    <xf numFmtId="0" fontId="18" fillId="37" borderId="28" xfId="0" applyFont="1" applyFill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71" xfId="0" applyFont="1" applyBorder="1" applyAlignment="1" applyProtection="1">
      <alignment horizontal="center" vertical="center"/>
      <protection hidden="1"/>
    </xf>
    <xf numFmtId="0" fontId="20" fillId="38" borderId="22" xfId="0" applyFont="1" applyFill="1" applyBorder="1" applyAlignment="1" applyProtection="1">
      <alignment horizontal="center" textRotation="90"/>
      <protection hidden="1"/>
    </xf>
    <xf numFmtId="0" fontId="20" fillId="38" borderId="23" xfId="0" applyFont="1" applyFill="1" applyBorder="1" applyAlignment="1" applyProtection="1">
      <alignment horizontal="center" textRotation="90"/>
      <protection hidden="1"/>
    </xf>
    <xf numFmtId="0" fontId="20" fillId="38" borderId="24" xfId="0" applyFont="1" applyFill="1" applyBorder="1" applyAlignment="1" applyProtection="1">
      <alignment horizontal="center" textRotation="90"/>
      <protection hidden="1"/>
    </xf>
    <xf numFmtId="0" fontId="20" fillId="38" borderId="74" xfId="0" applyFont="1" applyFill="1" applyBorder="1" applyAlignment="1" applyProtection="1">
      <alignment horizontal="center" textRotation="90"/>
      <protection hidden="1"/>
    </xf>
    <xf numFmtId="0" fontId="20" fillId="38" borderId="0" xfId="0" applyFont="1" applyFill="1" applyBorder="1" applyAlignment="1" applyProtection="1">
      <alignment horizontal="center" textRotation="90"/>
      <protection hidden="1"/>
    </xf>
    <xf numFmtId="0" fontId="20" fillId="38" borderId="75" xfId="0" applyFont="1" applyFill="1" applyBorder="1" applyAlignment="1" applyProtection="1">
      <alignment horizontal="center" textRotation="90"/>
      <protection hidden="1"/>
    </xf>
    <xf numFmtId="0" fontId="20" fillId="38" borderId="25" xfId="0" applyFont="1" applyFill="1" applyBorder="1" applyAlignment="1" applyProtection="1">
      <alignment horizontal="center" textRotation="90"/>
      <protection hidden="1"/>
    </xf>
    <xf numFmtId="0" fontId="20" fillId="38" borderId="14" xfId="0" applyFont="1" applyFill="1" applyBorder="1" applyAlignment="1" applyProtection="1">
      <alignment horizontal="center" textRotation="90"/>
      <protection hidden="1"/>
    </xf>
    <xf numFmtId="0" fontId="20" fillId="38" borderId="26" xfId="0" applyFont="1" applyFill="1" applyBorder="1" applyAlignment="1" applyProtection="1">
      <alignment horizontal="center" textRotation="90"/>
      <protection hidden="1"/>
    </xf>
    <xf numFmtId="0" fontId="20" fillId="34" borderId="39" xfId="0" applyFont="1" applyFill="1" applyBorder="1" applyAlignment="1" applyProtection="1">
      <alignment horizontal="center" vertical="center" shrinkToFit="1"/>
      <protection hidden="1"/>
    </xf>
    <xf numFmtId="0" fontId="20" fillId="34" borderId="40" xfId="0" applyFont="1" applyFill="1" applyBorder="1" applyAlignment="1" applyProtection="1">
      <alignment horizontal="center" vertical="center" shrinkToFit="1"/>
      <protection hidden="1"/>
    </xf>
    <xf numFmtId="0" fontId="20" fillId="0" borderId="35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Border="1" applyAlignment="1" applyProtection="1">
      <alignment horizontal="center" vertical="center" shrinkToFit="1"/>
      <protection hidden="1"/>
    </xf>
    <xf numFmtId="0" fontId="20" fillId="0" borderId="36" xfId="0" applyFont="1" applyBorder="1" applyAlignment="1" applyProtection="1">
      <alignment horizontal="center" vertical="center" shrinkToFit="1"/>
      <protection hidden="1"/>
    </xf>
    <xf numFmtId="0" fontId="20" fillId="38" borderId="59" xfId="0" applyFont="1" applyFill="1" applyBorder="1" applyAlignment="1" applyProtection="1">
      <alignment horizontal="center" textRotation="90"/>
      <protection hidden="1"/>
    </xf>
    <xf numFmtId="0" fontId="20" fillId="38" borderId="15" xfId="0" applyFont="1" applyFill="1" applyBorder="1" applyAlignment="1" applyProtection="1">
      <alignment horizontal="center" textRotation="90"/>
      <protection hidden="1"/>
    </xf>
    <xf numFmtId="0" fontId="20" fillId="38" borderId="60" xfId="0" applyFont="1" applyFill="1" applyBorder="1" applyAlignment="1" applyProtection="1">
      <alignment horizontal="center" textRotation="90"/>
      <protection hidden="1"/>
    </xf>
    <xf numFmtId="0" fontId="18" fillId="38" borderId="54" xfId="0" applyFont="1" applyFill="1" applyBorder="1" applyAlignment="1" applyProtection="1">
      <alignment horizontal="center" vertical="center"/>
      <protection hidden="1"/>
    </xf>
    <xf numFmtId="0" fontId="18" fillId="38" borderId="27" xfId="0" applyFont="1" applyFill="1" applyBorder="1" applyAlignment="1" applyProtection="1">
      <alignment horizontal="center" vertical="center"/>
      <protection hidden="1"/>
    </xf>
    <xf numFmtId="0" fontId="18" fillId="38" borderId="28" xfId="0" applyFont="1" applyFill="1" applyBorder="1" applyAlignment="1" applyProtection="1">
      <alignment horizontal="center" vertical="center"/>
      <protection hidden="1"/>
    </xf>
    <xf numFmtId="0" fontId="18" fillId="41" borderId="54" xfId="0" applyFont="1" applyFill="1" applyBorder="1" applyAlignment="1" applyProtection="1">
      <alignment horizontal="center" vertical="center"/>
      <protection hidden="1"/>
    </xf>
    <xf numFmtId="0" fontId="18" fillId="41" borderId="27" xfId="0" applyFont="1" applyFill="1" applyBorder="1" applyAlignment="1" applyProtection="1">
      <alignment horizontal="center" vertical="center"/>
      <protection hidden="1"/>
    </xf>
    <xf numFmtId="0" fontId="18" fillId="41" borderId="28" xfId="0" applyFont="1" applyFill="1" applyBorder="1" applyAlignment="1" applyProtection="1">
      <alignment horizontal="center" vertical="center"/>
      <protection hidden="1"/>
    </xf>
    <xf numFmtId="0" fontId="20" fillId="34" borderId="17" xfId="0" applyFont="1" applyFill="1" applyBorder="1" applyAlignment="1" applyProtection="1">
      <alignment horizontal="center" vertical="center" shrinkToFit="1"/>
      <protection hidden="1"/>
    </xf>
    <xf numFmtId="0" fontId="18" fillId="36" borderId="55" xfId="0" applyFont="1" applyFill="1" applyBorder="1" applyAlignment="1" applyProtection="1">
      <alignment horizontal="center" vertical="center" shrinkToFit="1"/>
      <protection hidden="1"/>
    </xf>
    <xf numFmtId="0" fontId="18" fillId="36" borderId="27" xfId="0" applyFont="1" applyFill="1" applyBorder="1" applyAlignment="1" applyProtection="1">
      <alignment horizontal="center" vertical="center" shrinkToFit="1"/>
      <protection hidden="1"/>
    </xf>
    <xf numFmtId="0" fontId="18" fillId="37" borderId="55" xfId="0" applyFont="1" applyFill="1" applyBorder="1" applyAlignment="1" applyProtection="1">
      <alignment horizontal="center" vertical="center" shrinkToFit="1"/>
      <protection hidden="1"/>
    </xf>
    <xf numFmtId="0" fontId="18" fillId="37" borderId="27" xfId="0" applyFont="1" applyFill="1" applyBorder="1" applyAlignment="1" applyProtection="1">
      <alignment horizontal="center" vertical="center" shrinkToFit="1"/>
      <protection hidden="1"/>
    </xf>
    <xf numFmtId="0" fontId="18" fillId="37" borderId="28" xfId="0" applyFont="1" applyFill="1" applyBorder="1" applyAlignment="1" applyProtection="1">
      <alignment horizontal="center" vertical="center" shrinkToFit="1"/>
      <protection hidden="1"/>
    </xf>
    <xf numFmtId="0" fontId="18" fillId="38" borderId="55" xfId="0" applyFont="1" applyFill="1" applyBorder="1" applyAlignment="1" applyProtection="1">
      <alignment horizontal="center" vertical="center" shrinkToFit="1"/>
      <protection hidden="1"/>
    </xf>
    <xf numFmtId="0" fontId="18" fillId="38" borderId="27" xfId="0" applyFont="1" applyFill="1" applyBorder="1" applyAlignment="1" applyProtection="1">
      <alignment horizontal="center" vertical="center" shrinkToFit="1"/>
      <protection hidden="1"/>
    </xf>
    <xf numFmtId="0" fontId="18" fillId="38" borderId="28" xfId="0" applyFont="1" applyFill="1" applyBorder="1" applyAlignment="1" applyProtection="1">
      <alignment horizontal="center" vertical="center" shrinkToFit="1"/>
      <protection hidden="1"/>
    </xf>
    <xf numFmtId="0" fontId="18" fillId="41" borderId="55" xfId="0" applyFont="1" applyFill="1" applyBorder="1" applyAlignment="1" applyProtection="1">
      <alignment horizontal="center" vertical="center" shrinkToFit="1"/>
      <protection hidden="1"/>
    </xf>
    <xf numFmtId="0" fontId="18" fillId="41" borderId="27" xfId="0" applyFont="1" applyFill="1" applyBorder="1" applyAlignment="1" applyProtection="1">
      <alignment horizontal="center" vertical="center" shrinkToFit="1"/>
      <protection hidden="1"/>
    </xf>
    <xf numFmtId="0" fontId="18" fillId="41" borderId="28" xfId="0" applyFont="1" applyFill="1" applyBorder="1" applyAlignment="1" applyProtection="1">
      <alignment horizontal="center" vertical="center" shrinkToFit="1"/>
      <protection hidden="1"/>
    </xf>
    <xf numFmtId="0" fontId="20" fillId="0" borderId="62" xfId="0" applyFont="1" applyBorder="1" applyAlignment="1" applyProtection="1">
      <alignment horizontal="center" vertical="center"/>
      <protection hidden="1"/>
    </xf>
    <xf numFmtId="0" fontId="18" fillId="38" borderId="64" xfId="0" applyFont="1" applyFill="1" applyBorder="1" applyAlignment="1" applyProtection="1">
      <alignment horizontal="center" vertical="center"/>
      <protection hidden="1"/>
    </xf>
    <xf numFmtId="1" fontId="20" fillId="0" borderId="13" xfId="0" applyNumberFormat="1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56" xfId="0" applyFont="1" applyBorder="1" applyAlignment="1" applyProtection="1">
      <alignment horizontal="left" vertical="center" shrinkToFit="1"/>
      <protection hidden="1"/>
    </xf>
    <xf numFmtId="0" fontId="20" fillId="34" borderId="21" xfId="0" applyFont="1" applyFill="1" applyBorder="1" applyAlignment="1" applyProtection="1">
      <alignment horizontal="center" vertical="center" shrinkToFit="1"/>
      <protection hidden="1"/>
    </xf>
    <xf numFmtId="0" fontId="20" fillId="34" borderId="12" xfId="0" applyFont="1" applyFill="1" applyBorder="1" applyAlignment="1" applyProtection="1">
      <alignment horizontal="center" vertical="center" shrinkToFit="1"/>
      <protection hidden="1"/>
    </xf>
    <xf numFmtId="0" fontId="20" fillId="34" borderId="56" xfId="0" applyFont="1" applyFill="1" applyBorder="1" applyAlignment="1" applyProtection="1">
      <alignment horizontal="center" vertical="center" shrinkToFit="1"/>
      <protection hidden="1"/>
    </xf>
    <xf numFmtId="0" fontId="18" fillId="35" borderId="54" xfId="0" applyFont="1" applyFill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56" xfId="0" applyFont="1" applyBorder="1" applyAlignment="1" applyProtection="1">
      <alignment horizontal="center" vertical="center" shrinkToFit="1"/>
      <protection hidden="1"/>
    </xf>
    <xf numFmtId="0" fontId="20" fillId="0" borderId="35" xfId="0" applyFont="1" applyBorder="1" applyAlignment="1" applyProtection="1">
      <alignment horizontal="left" vertical="center" shrinkToFit="1"/>
      <protection hidden="1"/>
    </xf>
    <xf numFmtId="0" fontId="20" fillId="0" borderId="11" xfId="0" applyFont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left" vertical="center" shrinkToFit="1"/>
      <protection hidden="1"/>
    </xf>
    <xf numFmtId="0" fontId="18" fillId="41" borderId="64" xfId="0" applyFont="1" applyFill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left" vertical="center" shrinkToFit="1"/>
      <protection hidden="1"/>
    </xf>
    <xf numFmtId="0" fontId="16" fillId="0" borderId="11" xfId="0" applyFont="1" applyBorder="1" applyAlignment="1" applyProtection="1">
      <alignment horizontal="left" vertical="center" shrinkToFit="1"/>
      <protection hidden="1"/>
    </xf>
    <xf numFmtId="0" fontId="16" fillId="0" borderId="63" xfId="0" applyFont="1" applyBorder="1" applyAlignment="1" applyProtection="1">
      <alignment horizontal="left" vertical="center" shrinkToFit="1"/>
      <protection hidden="1"/>
    </xf>
    <xf numFmtId="0" fontId="18" fillId="34" borderId="55" xfId="0" applyFont="1" applyFill="1" applyBorder="1" applyAlignment="1" applyProtection="1">
      <alignment horizontal="center" vertical="center"/>
      <protection hidden="1"/>
    </xf>
    <xf numFmtId="0" fontId="18" fillId="34" borderId="64" xfId="0" applyFont="1" applyFill="1" applyBorder="1" applyAlignment="1" applyProtection="1">
      <alignment horizontal="center" vertical="center"/>
      <protection hidden="1"/>
    </xf>
    <xf numFmtId="0" fontId="18" fillId="40" borderId="54" xfId="0" applyFont="1" applyFill="1" applyBorder="1" applyAlignment="1" applyProtection="1">
      <alignment horizontal="center" vertical="center"/>
      <protection hidden="1"/>
    </xf>
    <xf numFmtId="165" fontId="16" fillId="0" borderId="45" xfId="0" applyNumberFormat="1" applyFont="1" applyBorder="1" applyAlignment="1" applyProtection="1">
      <alignment horizontal="center" vertical="center"/>
      <protection hidden="1"/>
    </xf>
    <xf numFmtId="165" fontId="16" fillId="0" borderId="70" xfId="0" applyNumberFormat="1" applyFont="1" applyBorder="1" applyAlignment="1" applyProtection="1">
      <alignment horizontal="center" vertical="center"/>
      <protection hidden="1"/>
    </xf>
    <xf numFmtId="0" fontId="16" fillId="38" borderId="55" xfId="0" applyFont="1" applyFill="1" applyBorder="1" applyAlignment="1" applyProtection="1">
      <alignment horizontal="center" vertical="center"/>
      <protection hidden="1"/>
    </xf>
    <xf numFmtId="0" fontId="16" fillId="38" borderId="27" xfId="0" applyFont="1" applyFill="1" applyBorder="1" applyAlignment="1" applyProtection="1">
      <alignment horizontal="center" vertical="center"/>
      <protection hidden="1"/>
    </xf>
    <xf numFmtId="0" fontId="16" fillId="38" borderId="64" xfId="0" applyFont="1" applyFill="1" applyBorder="1" applyAlignment="1" applyProtection="1">
      <alignment horizontal="center" vertical="center"/>
      <protection hidden="1"/>
    </xf>
    <xf numFmtId="0" fontId="16" fillId="36" borderId="55" xfId="0" applyFont="1" applyFill="1" applyBorder="1" applyAlignment="1" applyProtection="1">
      <alignment horizontal="center" vertical="center"/>
      <protection hidden="1"/>
    </xf>
    <xf numFmtId="0" fontId="16" fillId="36" borderId="27" xfId="0" applyFont="1" applyFill="1" applyBorder="1" applyAlignment="1" applyProtection="1">
      <alignment horizontal="center" vertical="center"/>
      <protection hidden="1"/>
    </xf>
    <xf numFmtId="0" fontId="16" fillId="36" borderId="64" xfId="0" applyFont="1" applyFill="1" applyBorder="1" applyAlignment="1" applyProtection="1">
      <alignment horizontal="center" vertical="center"/>
      <protection hidden="1"/>
    </xf>
    <xf numFmtId="0" fontId="16" fillId="37" borderId="55" xfId="0" applyFont="1" applyFill="1" applyBorder="1" applyAlignment="1" applyProtection="1">
      <alignment horizontal="center" vertical="center"/>
      <protection hidden="1"/>
    </xf>
    <xf numFmtId="0" fontId="16" fillId="37" borderId="27" xfId="0" applyFont="1" applyFill="1" applyBorder="1" applyAlignment="1" applyProtection="1">
      <alignment horizontal="center" vertical="center"/>
      <protection hidden="1"/>
    </xf>
    <xf numFmtId="0" fontId="16" fillId="37" borderId="64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62" xfId="0" applyFont="1" applyBorder="1" applyAlignment="1" applyProtection="1">
      <alignment horizontal="left" vertical="center" shrinkToFit="1"/>
      <protection locked="0"/>
    </xf>
    <xf numFmtId="0" fontId="16" fillId="0" borderId="61" xfId="0" applyFont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left" vertical="center" shrinkToFit="1"/>
      <protection locked="0"/>
    </xf>
    <xf numFmtId="0" fontId="16" fillId="0" borderId="72" xfId="0" applyFont="1" applyBorder="1" applyAlignment="1" applyProtection="1">
      <alignment horizontal="left" vertical="center" shrinkToFit="1"/>
      <protection locked="0"/>
    </xf>
    <xf numFmtId="0" fontId="16" fillId="0" borderId="68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6" fillId="0" borderId="63" xfId="0" applyFont="1" applyBorder="1" applyAlignment="1" applyProtection="1">
      <alignment horizontal="left" vertical="center" shrinkToFit="1"/>
      <protection locked="0"/>
    </xf>
    <xf numFmtId="0" fontId="20" fillId="38" borderId="76" xfId="0" applyFont="1" applyFill="1" applyBorder="1" applyAlignment="1" applyProtection="1">
      <alignment horizontal="center" textRotation="90"/>
      <protection hidden="1"/>
    </xf>
    <xf numFmtId="0" fontId="20" fillId="38" borderId="10" xfId="0" applyFont="1" applyFill="1" applyBorder="1" applyAlignment="1" applyProtection="1">
      <alignment horizontal="center" textRotation="90"/>
      <protection hidden="1"/>
    </xf>
    <xf numFmtId="0" fontId="20" fillId="38" borderId="77" xfId="0" applyFont="1" applyFill="1" applyBorder="1" applyAlignment="1" applyProtection="1">
      <alignment horizontal="center" textRotation="90"/>
      <protection hidden="1"/>
    </xf>
    <xf numFmtId="0" fontId="16" fillId="0" borderId="37" xfId="0" applyFont="1" applyBorder="1" applyAlignment="1" applyProtection="1">
      <alignment horizontal="left" vertical="center" shrinkToFit="1"/>
      <protection hidden="1"/>
    </xf>
    <xf numFmtId="0" fontId="16" fillId="0" borderId="13" xfId="0" applyFont="1" applyBorder="1" applyAlignment="1" applyProtection="1">
      <alignment horizontal="left" vertical="center" shrinkToFit="1"/>
      <protection hidden="1"/>
    </xf>
    <xf numFmtId="0" fontId="16" fillId="0" borderId="62" xfId="0" applyFont="1" applyBorder="1" applyAlignment="1" applyProtection="1">
      <alignment horizontal="left" vertical="center" shrinkToFit="1"/>
      <protection hidden="1"/>
    </xf>
    <xf numFmtId="0" fontId="16" fillId="0" borderId="61" xfId="0" applyFont="1" applyBorder="1" applyAlignment="1" applyProtection="1">
      <alignment horizontal="left" vertical="center" shrinkToFit="1"/>
      <protection hidden="1"/>
    </xf>
    <xf numFmtId="0" fontId="16" fillId="0" borderId="68" xfId="0" applyFont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72" xfId="0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166" fontId="20" fillId="0" borderId="21" xfId="0" applyNumberFormat="1" applyFont="1" applyFill="1" applyBorder="1" applyAlignment="1" applyProtection="1">
      <alignment horizontal="right" vertical="center"/>
      <protection hidden="1"/>
    </xf>
    <xf numFmtId="166" fontId="20" fillId="0" borderId="12" xfId="0" applyNumberFormat="1" applyFont="1" applyFill="1" applyBorder="1" applyAlignment="1" applyProtection="1">
      <alignment horizontal="right" vertical="center"/>
      <protection hidden="1"/>
    </xf>
    <xf numFmtId="166" fontId="20" fillId="0" borderId="35" xfId="0" applyNumberFormat="1" applyFont="1" applyFill="1" applyBorder="1" applyAlignment="1" applyProtection="1">
      <alignment horizontal="right" vertical="center"/>
      <protection hidden="1"/>
    </xf>
    <xf numFmtId="166" fontId="20" fillId="0" borderId="11" xfId="0" applyNumberFormat="1" applyFont="1" applyFill="1" applyBorder="1" applyAlignment="1" applyProtection="1">
      <alignment horizontal="right" vertical="center"/>
      <protection hidden="1"/>
    </xf>
    <xf numFmtId="170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166" fontId="20" fillId="0" borderId="51" xfId="0" applyNumberFormat="1" applyFont="1" applyFill="1" applyBorder="1" applyAlignment="1" applyProtection="1">
      <alignment horizontal="right" vertical="center"/>
      <protection hidden="1"/>
    </xf>
    <xf numFmtId="166" fontId="20" fillId="0" borderId="13" xfId="0" applyNumberFormat="1" applyFont="1" applyFill="1" applyBorder="1" applyAlignment="1" applyProtection="1">
      <alignment horizontal="right" vertical="center"/>
      <protection hidden="1"/>
    </xf>
    <xf numFmtId="0" fontId="20" fillId="0" borderId="6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42"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  <fill>
        <patternFill>
          <bgColor indexed="9"/>
        </patternFill>
      </fill>
    </dxf>
    <dxf>
      <font>
        <color indexed="12"/>
      </font>
      <fill>
        <patternFill>
          <bgColor indexed="9"/>
        </patternFill>
      </fill>
    </dxf>
    <dxf>
      <font>
        <color indexed="17"/>
      </font>
      <fill>
        <patternFill>
          <bgColor indexed="9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  <fill>
        <patternFill>
          <bgColor indexed="9"/>
        </patternFill>
      </fill>
    </dxf>
    <dxf>
      <font>
        <color indexed="12"/>
      </font>
      <fill>
        <patternFill>
          <bgColor indexed="9"/>
        </patternFill>
      </fill>
    </dxf>
    <dxf>
      <font>
        <color indexed="17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54</xdr:col>
      <xdr:colOff>0</xdr:colOff>
      <xdr:row>1</xdr:row>
      <xdr:rowOff>0</xdr:rowOff>
    </xdr:from>
    <xdr:to>
      <xdr:col>61</xdr:col>
      <xdr:colOff>133350</xdr:colOff>
      <xdr:row>7</xdr:row>
      <xdr:rowOff>85725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0"/>
          <a:ext cx="1133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123825</xdr:rowOff>
    </xdr:from>
    <xdr:to>
      <xdr:col>13</xdr:col>
      <xdr:colOff>28575</xdr:colOff>
      <xdr:row>4</xdr:row>
      <xdr:rowOff>38100</xdr:rowOff>
    </xdr:to>
    <xdr:pic>
      <xdr:nvPicPr>
        <xdr:cNvPr id="2" name="Grafik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9075"/>
          <a:ext cx="1733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1</xdr:row>
      <xdr:rowOff>123825</xdr:rowOff>
    </xdr:from>
    <xdr:to>
      <xdr:col>52</xdr:col>
      <xdr:colOff>123825</xdr:colOff>
      <xdr:row>4</xdr:row>
      <xdr:rowOff>38100</xdr:rowOff>
    </xdr:to>
    <xdr:pic>
      <xdr:nvPicPr>
        <xdr:cNvPr id="3" name="Grafik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19075"/>
          <a:ext cx="1733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81"/>
  <sheetViews>
    <sheetView showGridLines="0" showRowColHeaders="0" tabSelected="1" zoomScalePageLayoutView="0" workbookViewId="0" topLeftCell="A23">
      <selection activeCell="Z28" sqref="Z28"/>
    </sheetView>
  </sheetViews>
  <sheetFormatPr defaultColWidth="0" defaultRowHeight="12.75" zeroHeight="1"/>
  <cols>
    <col min="1" max="68" width="2.140625" style="3" customWidth="1"/>
    <col min="69" max="73" width="2.140625" style="3" hidden="1" customWidth="1"/>
    <col min="74" max="74" width="2.140625" style="4" hidden="1" customWidth="1"/>
    <col min="75" max="75" width="2.140625" style="5" hidden="1" customWidth="1"/>
    <col min="76" max="155" width="2.140625" style="4" hidden="1" customWidth="1"/>
    <col min="156" max="16384" width="2.140625" style="3" hidden="1" customWidth="1"/>
  </cols>
  <sheetData>
    <row r="1" spans="54:155" s="1" customFormat="1" ht="7.5" customHeight="1"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</row>
    <row r="2" spans="2:155" s="1" customFormat="1" ht="33" customHeight="1">
      <c r="B2" s="302" t="s">
        <v>86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10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75"/>
      <c r="BP2" s="75"/>
      <c r="BQ2" s="75"/>
      <c r="BR2" s="75"/>
      <c r="BS2" s="3"/>
      <c r="BT2" s="3"/>
      <c r="BU2" s="3"/>
      <c r="BV2" s="4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</row>
    <row r="3" spans="2:155" s="6" customFormat="1" ht="27" customHeight="1">
      <c r="B3" s="302" t="s">
        <v>101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10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75"/>
      <c r="BP3" s="75"/>
      <c r="BQ3" s="75"/>
      <c r="BR3" s="75"/>
      <c r="BS3" s="7"/>
      <c r="BT3" s="7"/>
      <c r="BU3" s="7"/>
      <c r="BV3" s="8"/>
      <c r="BW3" s="9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s="11" customFormat="1" ht="15" customHeight="1">
      <c r="A4" s="10"/>
      <c r="B4" s="309" t="s">
        <v>87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13"/>
      <c r="BC4" s="14"/>
      <c r="BD4" s="14"/>
      <c r="BE4" s="14"/>
      <c r="BF4" s="14"/>
      <c r="BG4" s="14"/>
      <c r="BH4" s="14"/>
      <c r="BI4" s="14"/>
      <c r="BJ4" s="14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7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</row>
    <row r="5" spans="44:155" s="11" customFormat="1" ht="6" customHeight="1"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3"/>
      <c r="BC5" s="14"/>
      <c r="BD5" s="14"/>
      <c r="BE5" s="14"/>
      <c r="BF5" s="14"/>
      <c r="BG5" s="14"/>
      <c r="BH5" s="14"/>
      <c r="BI5" s="14"/>
      <c r="BJ5" s="14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7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</row>
    <row r="6" spans="2:155" s="18" customFormat="1" ht="15">
      <c r="B6" s="284">
        <v>42504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19"/>
      <c r="BC6" s="20"/>
      <c r="BD6" s="20"/>
      <c r="BE6" s="20"/>
      <c r="BF6" s="20"/>
      <c r="BG6" s="20"/>
      <c r="BH6" s="20"/>
      <c r="BI6" s="20"/>
      <c r="BJ6" s="20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/>
      <c r="BW6" s="23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44:155" s="11" customFormat="1" ht="6" customHeight="1"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/>
      <c r="BC7" s="14"/>
      <c r="BD7" s="14"/>
      <c r="BE7" s="14"/>
      <c r="BF7" s="14"/>
      <c r="BG7" s="14"/>
      <c r="BH7" s="14"/>
      <c r="BI7" s="14"/>
      <c r="BJ7" s="14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7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</row>
    <row r="8" spans="2:155" s="24" customFormat="1" ht="15">
      <c r="B8" s="287" t="s">
        <v>98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18"/>
      <c r="BC8" s="18"/>
      <c r="BD8" s="18"/>
      <c r="BE8" s="18"/>
      <c r="BF8" s="18"/>
      <c r="BG8" s="18"/>
      <c r="BH8" s="18"/>
      <c r="BI8" s="18"/>
      <c r="BJ8" s="18"/>
      <c r="BK8" s="21"/>
      <c r="BL8" s="21"/>
      <c r="BM8" s="21"/>
      <c r="BN8" s="21"/>
      <c r="BO8" s="21"/>
      <c r="BP8" s="21"/>
      <c r="BQ8" s="21"/>
      <c r="BR8" s="21"/>
      <c r="BS8" s="25"/>
      <c r="BT8" s="25"/>
      <c r="BU8" s="25"/>
      <c r="BV8" s="26"/>
      <c r="BW8" s="27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54:155" s="11" customFormat="1" ht="6" customHeight="1">
      <c r="BB9" s="14"/>
      <c r="BC9" s="14"/>
      <c r="BD9" s="14"/>
      <c r="BE9" s="14"/>
      <c r="BF9" s="14"/>
      <c r="BG9" s="14"/>
      <c r="BH9" s="14"/>
      <c r="BI9" s="14"/>
      <c r="BJ9" s="14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  <c r="BW9" s="17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2:115" s="96" customFormat="1" ht="15">
      <c r="B10" s="222" t="s">
        <v>48</v>
      </c>
      <c r="C10" s="222"/>
      <c r="D10" s="222"/>
      <c r="E10" s="222"/>
      <c r="F10" s="222"/>
      <c r="G10" s="222"/>
      <c r="H10" s="288">
        <v>0.375</v>
      </c>
      <c r="I10" s="288"/>
      <c r="J10" s="288"/>
      <c r="K10" s="288"/>
      <c r="L10" s="96" t="s">
        <v>1</v>
      </c>
      <c r="T10" s="97" t="s">
        <v>2</v>
      </c>
      <c r="U10" s="289">
        <v>1</v>
      </c>
      <c r="V10" s="289"/>
      <c r="W10" s="98" t="s">
        <v>3</v>
      </c>
      <c r="X10" s="290">
        <v>17</v>
      </c>
      <c r="Y10" s="290"/>
      <c r="Z10" s="290"/>
      <c r="AA10" s="290"/>
      <c r="AB10" s="290"/>
      <c r="AC10" s="221">
        <f>IF(U10=2,"Halbzeit:","")</f>
      </c>
      <c r="AD10" s="221"/>
      <c r="AE10" s="221"/>
      <c r="AF10" s="221"/>
      <c r="AG10" s="221"/>
      <c r="AH10" s="221"/>
      <c r="AI10" s="290"/>
      <c r="AJ10" s="290"/>
      <c r="AK10" s="290"/>
      <c r="AL10" s="290"/>
      <c r="AM10" s="290"/>
      <c r="AN10" s="222" t="s">
        <v>4</v>
      </c>
      <c r="AO10" s="222"/>
      <c r="AP10" s="222"/>
      <c r="AQ10" s="222"/>
      <c r="AR10" s="222"/>
      <c r="AS10" s="222"/>
      <c r="AT10" s="222"/>
      <c r="AU10" s="222"/>
      <c r="AV10" s="222"/>
      <c r="AW10" s="291">
        <v>3</v>
      </c>
      <c r="AX10" s="291"/>
      <c r="AY10" s="291"/>
      <c r="AZ10" s="291"/>
      <c r="BA10" s="291"/>
      <c r="BB10" s="99"/>
      <c r="BC10" s="99"/>
      <c r="BD10" s="99"/>
      <c r="BE10" s="100"/>
      <c r="BF10" s="100"/>
      <c r="BG10" s="100"/>
      <c r="BH10" s="101"/>
      <c r="BI10" s="101"/>
      <c r="BJ10" s="101"/>
      <c r="BK10" s="100"/>
      <c r="BL10" s="102"/>
      <c r="BM10" s="102"/>
      <c r="BN10" s="102"/>
      <c r="BO10" s="102"/>
      <c r="BP10" s="102"/>
      <c r="BQ10" s="102"/>
      <c r="BR10" s="103"/>
      <c r="BS10" s="103"/>
      <c r="BT10" s="103"/>
      <c r="BU10" s="103"/>
      <c r="BV10" s="101"/>
      <c r="BW10" s="101"/>
      <c r="BX10" s="101"/>
      <c r="BY10" s="101"/>
      <c r="BZ10" s="101"/>
      <c r="CA10" s="101"/>
      <c r="CB10" s="103"/>
      <c r="CC10" s="103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4:155" s="1" customFormat="1" ht="9" customHeight="1">
      <c r="BB11" s="2"/>
      <c r="BC11" s="2"/>
      <c r="BD11" s="2"/>
      <c r="BE11" s="2"/>
      <c r="BF11" s="2"/>
      <c r="BG11" s="2"/>
      <c r="BH11" s="2"/>
      <c r="BI11" s="2"/>
      <c r="BJ11" s="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4"/>
      <c r="BW11" s="5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</row>
    <row r="12" spans="54:155" s="1" customFormat="1" ht="6" customHeight="1"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5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</row>
    <row r="13" spans="2:155" s="24" customFormat="1" ht="15">
      <c r="B13" s="28" t="s">
        <v>5</v>
      </c>
      <c r="BB13" s="29"/>
      <c r="BC13" s="29"/>
      <c r="BD13" s="29"/>
      <c r="BE13" s="29"/>
      <c r="BF13" s="29"/>
      <c r="BG13" s="29"/>
      <c r="BH13" s="29"/>
      <c r="BI13" s="29"/>
      <c r="BJ13" s="29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/>
      <c r="BW13" s="27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</row>
    <row r="14" spans="54:155" s="1" customFormat="1" ht="11.25" customHeight="1" thickBot="1">
      <c r="BB14" s="2"/>
      <c r="BC14" s="2"/>
      <c r="BD14" s="2"/>
      <c r="BE14" s="2"/>
      <c r="BF14" s="2"/>
      <c r="BG14" s="2"/>
      <c r="BH14" s="2"/>
      <c r="BI14" s="2"/>
      <c r="BJ14" s="2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4"/>
      <c r="BW14" s="5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</row>
    <row r="15" spans="2:155" s="1" customFormat="1" ht="16.5" customHeight="1" thickBot="1">
      <c r="B15" s="433" t="s">
        <v>6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5"/>
      <c r="Y15" s="436" t="s">
        <v>7</v>
      </c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8"/>
      <c r="AT15" s="2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s="1" customFormat="1" ht="16.5" customHeight="1">
      <c r="A16" s="31">
        <v>1</v>
      </c>
      <c r="B16" s="445" t="s">
        <v>90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7"/>
      <c r="X16" s="31">
        <v>1</v>
      </c>
      <c r="Y16" s="445" t="s">
        <v>88</v>
      </c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7"/>
      <c r="AT16" s="2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:155" s="1" customFormat="1" ht="16.5" customHeight="1">
      <c r="A17" s="31">
        <v>2</v>
      </c>
      <c r="B17" s="442" t="s">
        <v>91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4"/>
      <c r="X17" s="31">
        <v>2</v>
      </c>
      <c r="Y17" s="442" t="s">
        <v>94</v>
      </c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4"/>
      <c r="AT17" s="2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</row>
    <row r="18" spans="1:155" s="1" customFormat="1" ht="16.5" customHeight="1">
      <c r="A18" s="31">
        <v>3</v>
      </c>
      <c r="B18" s="442" t="s">
        <v>92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4"/>
      <c r="X18" s="31">
        <v>3</v>
      </c>
      <c r="Y18" s="442" t="s">
        <v>95</v>
      </c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4"/>
      <c r="AT18" s="2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55" s="1" customFormat="1" ht="16.5" customHeight="1" thickBot="1">
      <c r="A19" s="31">
        <v>4</v>
      </c>
      <c r="B19" s="439" t="s">
        <v>93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1"/>
      <c r="X19" s="31">
        <v>4</v>
      </c>
      <c r="Y19" s="439" t="s">
        <v>96</v>
      </c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1"/>
      <c r="AT19" s="2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</row>
    <row r="20" spans="59:155" s="1" customFormat="1" ht="16.5" customHeight="1" thickBot="1">
      <c r="BG20" s="2"/>
      <c r="BH20" s="2"/>
      <c r="BI20" s="2"/>
      <c r="BJ20" s="2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2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</row>
    <row r="21" spans="13:154" s="1" customFormat="1" ht="16.5" customHeight="1" thickBot="1">
      <c r="M21" s="430" t="s">
        <v>8</v>
      </c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2"/>
      <c r="BF21" s="2"/>
      <c r="BG21" s="2"/>
      <c r="BH21" s="2"/>
      <c r="BI21" s="2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2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</row>
    <row r="22" spans="12:154" s="1" customFormat="1" ht="16.5" customHeight="1">
      <c r="L22" s="31">
        <v>1</v>
      </c>
      <c r="M22" s="445" t="s">
        <v>89</v>
      </c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7"/>
      <c r="AL22" s="106" t="s">
        <v>82</v>
      </c>
      <c r="BF22" s="2"/>
      <c r="BG22" s="2"/>
      <c r="BH22" s="2"/>
      <c r="BI22" s="2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2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</row>
    <row r="23" spans="12:154" s="1" customFormat="1" ht="16.5" customHeight="1">
      <c r="L23" s="31">
        <v>2</v>
      </c>
      <c r="M23" s="442" t="s">
        <v>97</v>
      </c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4"/>
      <c r="AL23" s="106" t="s">
        <v>41</v>
      </c>
      <c r="BF23" s="2"/>
      <c r="BG23" s="2"/>
      <c r="BH23" s="2"/>
      <c r="BI23" s="2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2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</row>
    <row r="24" spans="12:154" s="1" customFormat="1" ht="16.5" customHeight="1">
      <c r="L24" s="31">
        <v>3</v>
      </c>
      <c r="M24" s="442" t="s">
        <v>99</v>
      </c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4"/>
      <c r="AL24" s="106" t="s">
        <v>42</v>
      </c>
      <c r="BF24" s="2"/>
      <c r="BG24" s="2"/>
      <c r="BH24" s="2"/>
      <c r="BI24" s="2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2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</row>
    <row r="25" spans="12:154" s="1" customFormat="1" ht="16.5" customHeight="1" thickBot="1">
      <c r="L25" s="31">
        <v>4</v>
      </c>
      <c r="M25" s="439" t="s">
        <v>100</v>
      </c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1"/>
      <c r="AL25" s="106" t="s">
        <v>43</v>
      </c>
      <c r="BF25" s="2"/>
      <c r="BG25" s="2"/>
      <c r="BH25" s="2"/>
      <c r="BI25" s="2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2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58:154" s="1" customFormat="1" ht="16.5" customHeight="1">
      <c r="BF26" s="2"/>
      <c r="BG26" s="2"/>
      <c r="BH26" s="2"/>
      <c r="BI26" s="2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2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53:150" s="1" customFormat="1" ht="16.5" customHeight="1">
      <c r="BA27" s="2"/>
      <c r="BB27" s="2"/>
      <c r="BC27" s="2"/>
      <c r="BD27" s="2"/>
      <c r="BE27" s="2"/>
      <c r="BF27" s="2"/>
      <c r="BG27" s="2"/>
      <c r="BH27" s="2"/>
      <c r="BI27" s="2"/>
      <c r="BJ27" s="3"/>
      <c r="BK27" s="3"/>
      <c r="BL27" s="3"/>
      <c r="BM27" s="3"/>
      <c r="BN27" s="3"/>
      <c r="BO27" s="3"/>
      <c r="BP27" s="3"/>
      <c r="BQ27" s="4"/>
      <c r="BR27" s="5"/>
      <c r="BS27" s="4"/>
      <c r="BT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</row>
    <row r="28" spans="2:151" s="24" customFormat="1" ht="16.5" customHeight="1">
      <c r="B28" s="33" t="s">
        <v>9</v>
      </c>
      <c r="N28" s="18"/>
      <c r="BB28" s="29"/>
      <c r="BC28" s="29"/>
      <c r="BD28" s="29"/>
      <c r="BE28" s="29"/>
      <c r="BF28" s="29"/>
      <c r="BG28" s="29"/>
      <c r="BH28" s="29"/>
      <c r="BI28" s="29"/>
      <c r="BJ28" s="29"/>
      <c r="BK28" s="25"/>
      <c r="BL28" s="25"/>
      <c r="BM28" s="25"/>
      <c r="BN28" s="25"/>
      <c r="BO28" s="25"/>
      <c r="BP28" s="25"/>
      <c r="BQ28" s="25"/>
      <c r="BR28" s="26"/>
      <c r="BS28" s="27"/>
      <c r="BT28" s="26"/>
      <c r="BU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</row>
    <row r="29" spans="54:144" s="1" customFormat="1" ht="16.5" customHeight="1" thickBot="1"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4"/>
      <c r="BN29" s="4"/>
      <c r="BO29" s="4"/>
      <c r="BP29" s="4"/>
      <c r="BQ29" s="4"/>
      <c r="BR29" s="4"/>
      <c r="BS29" s="4"/>
      <c r="BT29" s="4"/>
      <c r="BU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</row>
    <row r="30" spans="1:152" s="1" customFormat="1" ht="16.5" customHeight="1" thickBot="1">
      <c r="A30" s="35"/>
      <c r="B30" s="425" t="s">
        <v>10</v>
      </c>
      <c r="C30" s="202"/>
      <c r="D30" s="200" t="s">
        <v>47</v>
      </c>
      <c r="E30" s="201"/>
      <c r="F30" s="202"/>
      <c r="G30" s="200" t="s">
        <v>11</v>
      </c>
      <c r="H30" s="201"/>
      <c r="I30" s="202"/>
      <c r="J30" s="200" t="s">
        <v>49</v>
      </c>
      <c r="K30" s="201"/>
      <c r="L30" s="201"/>
      <c r="M30" s="202"/>
      <c r="N30" s="200" t="s">
        <v>12</v>
      </c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2"/>
      <c r="BE30" s="200" t="s">
        <v>13</v>
      </c>
      <c r="BF30" s="201"/>
      <c r="BG30" s="201"/>
      <c r="BH30" s="201"/>
      <c r="BI30" s="201"/>
      <c r="BJ30" s="90"/>
      <c r="BK30" s="91"/>
      <c r="BL30" s="91"/>
      <c r="BM30" s="91"/>
      <c r="BN30" s="91"/>
      <c r="EC30" s="25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</row>
    <row r="31" spans="1:152" s="40" customFormat="1" ht="16.5" customHeight="1">
      <c r="A31" s="35"/>
      <c r="B31" s="316">
        <v>1</v>
      </c>
      <c r="C31" s="317"/>
      <c r="D31" s="172">
        <v>1</v>
      </c>
      <c r="E31" s="173"/>
      <c r="F31" s="174"/>
      <c r="G31" s="172" t="s">
        <v>15</v>
      </c>
      <c r="H31" s="173"/>
      <c r="I31" s="174"/>
      <c r="J31" s="303">
        <f>$H$10</f>
        <v>0.375</v>
      </c>
      <c r="K31" s="304"/>
      <c r="L31" s="304"/>
      <c r="M31" s="305"/>
      <c r="N31" s="177" t="str">
        <f>B16</f>
        <v>SV Rosellen 3</v>
      </c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39" t="s">
        <v>16</v>
      </c>
      <c r="AJ31" s="178" t="str">
        <f>B17</f>
        <v>DSC 99 Düsseldorf</v>
      </c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270"/>
      <c r="BE31" s="265"/>
      <c r="BF31" s="266"/>
      <c r="BG31" s="266"/>
      <c r="BH31" s="268"/>
      <c r="BI31" s="268"/>
      <c r="BJ31" s="92"/>
      <c r="BK31" s="93"/>
      <c r="BL31" s="93"/>
      <c r="BM31" s="93"/>
      <c r="BN31" s="93"/>
      <c r="EC31" s="2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</row>
    <row r="32" spans="1:152" s="1" customFormat="1" ht="16.5" customHeight="1" thickBot="1">
      <c r="A32" s="35"/>
      <c r="B32" s="338">
        <v>2</v>
      </c>
      <c r="C32" s="339"/>
      <c r="D32" s="203">
        <v>2</v>
      </c>
      <c r="E32" s="204"/>
      <c r="F32" s="205"/>
      <c r="G32" s="203" t="s">
        <v>15</v>
      </c>
      <c r="H32" s="204"/>
      <c r="I32" s="205"/>
      <c r="J32" s="298">
        <f>J31</f>
        <v>0.375</v>
      </c>
      <c r="K32" s="299"/>
      <c r="L32" s="299"/>
      <c r="M32" s="300"/>
      <c r="N32" s="285" t="str">
        <f>B18</f>
        <v>TuS Hackenbroich</v>
      </c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49" t="s">
        <v>16</v>
      </c>
      <c r="AJ32" s="286" t="str">
        <f>B19</f>
        <v>DJK Viktoria Frechen</v>
      </c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306"/>
      <c r="BE32" s="307"/>
      <c r="BF32" s="308"/>
      <c r="BG32" s="308"/>
      <c r="BH32" s="341"/>
      <c r="BI32" s="342"/>
      <c r="BJ32" s="92"/>
      <c r="BK32" s="93"/>
      <c r="BL32" s="93"/>
      <c r="BM32" s="93"/>
      <c r="BN32" s="93"/>
      <c r="EC32" s="2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1" customFormat="1" ht="16.5" customHeight="1">
      <c r="A33" s="35"/>
      <c r="B33" s="316">
        <v>3</v>
      </c>
      <c r="C33" s="317"/>
      <c r="D33" s="206">
        <v>1</v>
      </c>
      <c r="E33" s="207"/>
      <c r="F33" s="208"/>
      <c r="G33" s="206" t="s">
        <v>17</v>
      </c>
      <c r="H33" s="207"/>
      <c r="I33" s="208"/>
      <c r="J33" s="303">
        <f>J32+TEXT($U$10*($X$10/1440)+($AI$10/1440)+($AW$10/1440),"hh:mm")</f>
        <v>0.3888888888888889</v>
      </c>
      <c r="K33" s="304"/>
      <c r="L33" s="304"/>
      <c r="M33" s="305"/>
      <c r="N33" s="177" t="str">
        <f>Y16</f>
        <v>SV Rosellen 1</v>
      </c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39" t="s">
        <v>16</v>
      </c>
      <c r="AJ33" s="178" t="str">
        <f>Y17</f>
        <v>SV Nütterden</v>
      </c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270"/>
      <c r="BE33" s="265"/>
      <c r="BF33" s="266"/>
      <c r="BG33" s="266"/>
      <c r="BH33" s="268"/>
      <c r="BI33" s="340"/>
      <c r="BJ33" s="92"/>
      <c r="BK33" s="93"/>
      <c r="BL33" s="93"/>
      <c r="BM33" s="93"/>
      <c r="BN33" s="93"/>
      <c r="EC33" s="2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spans="1:152" s="1" customFormat="1" ht="16.5" customHeight="1" thickBot="1">
      <c r="A34" s="35"/>
      <c r="B34" s="338">
        <v>4</v>
      </c>
      <c r="C34" s="339"/>
      <c r="D34" s="209">
        <v>2</v>
      </c>
      <c r="E34" s="210"/>
      <c r="F34" s="211"/>
      <c r="G34" s="209" t="s">
        <v>17</v>
      </c>
      <c r="H34" s="210"/>
      <c r="I34" s="211"/>
      <c r="J34" s="298">
        <f>J33</f>
        <v>0.3888888888888889</v>
      </c>
      <c r="K34" s="299"/>
      <c r="L34" s="299"/>
      <c r="M34" s="300"/>
      <c r="N34" s="285" t="str">
        <f>Y18</f>
        <v>1. FC Quadrath Ichendorf</v>
      </c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49" t="s">
        <v>16</v>
      </c>
      <c r="AJ34" s="286" t="str">
        <f>Y19</f>
        <v>SC Blau-Weiß 06 Köln</v>
      </c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306"/>
      <c r="BE34" s="307"/>
      <c r="BF34" s="308"/>
      <c r="BG34" s="308"/>
      <c r="BH34" s="341"/>
      <c r="BI34" s="342"/>
      <c r="BJ34" s="92"/>
      <c r="BK34" s="93"/>
      <c r="BL34" s="93"/>
      <c r="BM34" s="93"/>
      <c r="BN34" s="93"/>
      <c r="EC34" s="2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1" customFormat="1" ht="16.5" customHeight="1">
      <c r="A35" s="35"/>
      <c r="B35" s="316">
        <v>5</v>
      </c>
      <c r="C35" s="317"/>
      <c r="D35" s="212">
        <v>1</v>
      </c>
      <c r="E35" s="213"/>
      <c r="F35" s="214"/>
      <c r="G35" s="212" t="s">
        <v>18</v>
      </c>
      <c r="H35" s="213"/>
      <c r="I35" s="214"/>
      <c r="J35" s="303">
        <f>J34+TEXT($U$10*($X$10/1440)+($AI$10/1440)+($AW$10/1440),"hh:mm")</f>
        <v>0.4027777777777778</v>
      </c>
      <c r="K35" s="304"/>
      <c r="L35" s="304"/>
      <c r="M35" s="305"/>
      <c r="N35" s="177" t="str">
        <f>M22</f>
        <v>SV Rosellen 2</v>
      </c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39" t="s">
        <v>16</v>
      </c>
      <c r="AJ35" s="178" t="str">
        <f>M23</f>
        <v>SG Orken-Noithausen</v>
      </c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270"/>
      <c r="BE35" s="265"/>
      <c r="BF35" s="266"/>
      <c r="BG35" s="266"/>
      <c r="BH35" s="268"/>
      <c r="BI35" s="340"/>
      <c r="BJ35" s="92"/>
      <c r="BK35" s="93"/>
      <c r="BL35" s="93"/>
      <c r="BM35" s="93"/>
      <c r="BN35" s="93"/>
      <c r="EC35" s="2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152" s="1" customFormat="1" ht="16.5" customHeight="1" thickBot="1">
      <c r="A36" s="35"/>
      <c r="B36" s="338">
        <v>6</v>
      </c>
      <c r="C36" s="339"/>
      <c r="D36" s="195">
        <v>2</v>
      </c>
      <c r="E36" s="196"/>
      <c r="F36" s="197"/>
      <c r="G36" s="195" t="s">
        <v>18</v>
      </c>
      <c r="H36" s="196"/>
      <c r="I36" s="197"/>
      <c r="J36" s="298">
        <f>J35</f>
        <v>0.4027777777777778</v>
      </c>
      <c r="K36" s="299"/>
      <c r="L36" s="299"/>
      <c r="M36" s="300"/>
      <c r="N36" s="285" t="str">
        <f>M24</f>
        <v>SSV Strümp</v>
      </c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49" t="s">
        <v>16</v>
      </c>
      <c r="AJ36" s="286" t="str">
        <f>M25</f>
        <v>DJK Hoisten</v>
      </c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306"/>
      <c r="BE36" s="307"/>
      <c r="BF36" s="308"/>
      <c r="BG36" s="308"/>
      <c r="BH36" s="341"/>
      <c r="BI36" s="342"/>
      <c r="BJ36" s="92"/>
      <c r="BK36" s="93"/>
      <c r="BL36" s="93"/>
      <c r="BM36" s="93"/>
      <c r="BN36" s="93"/>
      <c r="EC36" s="3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</row>
    <row r="37" spans="1:152" s="1" customFormat="1" ht="16.5" customHeight="1">
      <c r="A37" s="35"/>
      <c r="B37" s="316">
        <v>7</v>
      </c>
      <c r="C37" s="317"/>
      <c r="D37" s="172">
        <v>1</v>
      </c>
      <c r="E37" s="173"/>
      <c r="F37" s="174"/>
      <c r="G37" s="172" t="s">
        <v>15</v>
      </c>
      <c r="H37" s="173"/>
      <c r="I37" s="174"/>
      <c r="J37" s="303">
        <f>J36+TEXT($U$10*($X$10/1440)+($AI$10/1440)+($AW$10/1440),"hh:mm")</f>
        <v>0.4166666666666667</v>
      </c>
      <c r="K37" s="304"/>
      <c r="L37" s="304"/>
      <c r="M37" s="305"/>
      <c r="N37" s="177" t="str">
        <f>B19</f>
        <v>DJK Viktoria Frechen</v>
      </c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39" t="s">
        <v>16</v>
      </c>
      <c r="AJ37" s="178" t="str">
        <f>B16</f>
        <v>SV Rosellen 3</v>
      </c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270"/>
      <c r="BE37" s="265"/>
      <c r="BF37" s="266"/>
      <c r="BG37" s="266"/>
      <c r="BH37" s="268"/>
      <c r="BI37" s="340"/>
      <c r="BJ37" s="92"/>
      <c r="BK37" s="93"/>
      <c r="BL37" s="93"/>
      <c r="BM37" s="93"/>
      <c r="BN37" s="93"/>
      <c r="EC37" s="41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</row>
    <row r="38" spans="1:152" s="1" customFormat="1" ht="16.5" customHeight="1" thickBot="1">
      <c r="A38" s="35"/>
      <c r="B38" s="338">
        <v>8</v>
      </c>
      <c r="C38" s="339"/>
      <c r="D38" s="203">
        <v>2</v>
      </c>
      <c r="E38" s="204"/>
      <c r="F38" s="205"/>
      <c r="G38" s="203" t="s">
        <v>15</v>
      </c>
      <c r="H38" s="204"/>
      <c r="I38" s="205"/>
      <c r="J38" s="298">
        <f>J37</f>
        <v>0.4166666666666667</v>
      </c>
      <c r="K38" s="299"/>
      <c r="L38" s="299"/>
      <c r="M38" s="300"/>
      <c r="N38" s="285" t="str">
        <f>B17</f>
        <v>DSC 99 Düsseldorf</v>
      </c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49" t="s">
        <v>16</v>
      </c>
      <c r="AJ38" s="286" t="str">
        <f>B18</f>
        <v>TuS Hackenbroich</v>
      </c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306"/>
      <c r="BE38" s="307"/>
      <c r="BF38" s="308"/>
      <c r="BG38" s="308"/>
      <c r="BH38" s="341"/>
      <c r="BI38" s="342"/>
      <c r="BJ38" s="92"/>
      <c r="BK38" s="93"/>
      <c r="BL38" s="93"/>
      <c r="BM38" s="93"/>
      <c r="BN38" s="93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152" s="1" customFormat="1" ht="16.5" customHeight="1">
      <c r="A39" s="35"/>
      <c r="B39" s="316">
        <v>9</v>
      </c>
      <c r="C39" s="317"/>
      <c r="D39" s="206">
        <v>1</v>
      </c>
      <c r="E39" s="207"/>
      <c r="F39" s="208"/>
      <c r="G39" s="206" t="s">
        <v>17</v>
      </c>
      <c r="H39" s="207"/>
      <c r="I39" s="208"/>
      <c r="J39" s="303">
        <f>J38+TEXT($U$10*($X$10/1440)+($AI$10/1440)+($AW$10/1440),"hh:mm")</f>
        <v>0.4305555555555556</v>
      </c>
      <c r="K39" s="304"/>
      <c r="L39" s="304"/>
      <c r="M39" s="305"/>
      <c r="N39" s="177" t="str">
        <f>Y19</f>
        <v>SC Blau-Weiß 06 Köln</v>
      </c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39" t="s">
        <v>16</v>
      </c>
      <c r="AJ39" s="178" t="str">
        <f>Y16</f>
        <v>SV Rosellen 1</v>
      </c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270"/>
      <c r="BE39" s="265"/>
      <c r="BF39" s="266"/>
      <c r="BG39" s="266"/>
      <c r="BH39" s="268"/>
      <c r="BI39" s="340"/>
      <c r="BJ39" s="92"/>
      <c r="BK39" s="93"/>
      <c r="BL39" s="93"/>
      <c r="BM39" s="93"/>
      <c r="BN39" s="93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s="1" customFormat="1" ht="16.5" customHeight="1" thickBot="1">
      <c r="A40" s="35"/>
      <c r="B40" s="338">
        <v>10</v>
      </c>
      <c r="C40" s="339"/>
      <c r="D40" s="209">
        <v>2</v>
      </c>
      <c r="E40" s="210"/>
      <c r="F40" s="211"/>
      <c r="G40" s="209" t="s">
        <v>17</v>
      </c>
      <c r="H40" s="210"/>
      <c r="I40" s="211"/>
      <c r="J40" s="298">
        <f>J39</f>
        <v>0.4305555555555556</v>
      </c>
      <c r="K40" s="299"/>
      <c r="L40" s="299"/>
      <c r="M40" s="300"/>
      <c r="N40" s="285" t="str">
        <f>Y17</f>
        <v>SV Nütterden</v>
      </c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49" t="s">
        <v>16</v>
      </c>
      <c r="AJ40" s="286" t="str">
        <f>Y18</f>
        <v>1. FC Quadrath Ichendorf</v>
      </c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306"/>
      <c r="BE40" s="307"/>
      <c r="BF40" s="308"/>
      <c r="BG40" s="308"/>
      <c r="BH40" s="341"/>
      <c r="BI40" s="342"/>
      <c r="BJ40" s="92"/>
      <c r="BK40" s="93"/>
      <c r="BL40" s="93"/>
      <c r="BM40" s="93"/>
      <c r="BN40" s="93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s="1" customFormat="1" ht="16.5" customHeight="1">
      <c r="A41" s="35"/>
      <c r="B41" s="316">
        <v>11</v>
      </c>
      <c r="C41" s="317"/>
      <c r="D41" s="212">
        <v>1</v>
      </c>
      <c r="E41" s="213"/>
      <c r="F41" s="214"/>
      <c r="G41" s="212" t="s">
        <v>18</v>
      </c>
      <c r="H41" s="213"/>
      <c r="I41" s="214"/>
      <c r="J41" s="303">
        <f>J40+TEXT($U$10*($X$10/1440)+($AI$10/1440)+($AW$10/1440),"hh:mm")</f>
        <v>0.4444444444444445</v>
      </c>
      <c r="K41" s="304"/>
      <c r="L41" s="304"/>
      <c r="M41" s="305"/>
      <c r="N41" s="177" t="str">
        <f>M25</f>
        <v>DJK Hoisten</v>
      </c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39" t="s">
        <v>16</v>
      </c>
      <c r="AJ41" s="178" t="str">
        <f>M22</f>
        <v>SV Rosellen 2</v>
      </c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270"/>
      <c r="BE41" s="265"/>
      <c r="BF41" s="266"/>
      <c r="BG41" s="266"/>
      <c r="BH41" s="268"/>
      <c r="BI41" s="340"/>
      <c r="BJ41" s="92"/>
      <c r="BK41" s="93"/>
      <c r="BL41" s="93"/>
      <c r="BM41" s="93"/>
      <c r="BN41" s="93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s="1" customFormat="1" ht="16.5" customHeight="1" thickBot="1">
      <c r="A42" s="35"/>
      <c r="B42" s="338">
        <v>12</v>
      </c>
      <c r="C42" s="339"/>
      <c r="D42" s="195">
        <v>2</v>
      </c>
      <c r="E42" s="196"/>
      <c r="F42" s="197"/>
      <c r="G42" s="195" t="s">
        <v>18</v>
      </c>
      <c r="H42" s="196"/>
      <c r="I42" s="197"/>
      <c r="J42" s="298">
        <f>J41</f>
        <v>0.4444444444444445</v>
      </c>
      <c r="K42" s="299"/>
      <c r="L42" s="299"/>
      <c r="M42" s="300"/>
      <c r="N42" s="285" t="str">
        <f>M23</f>
        <v>SG Orken-Noithausen</v>
      </c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49" t="s">
        <v>16</v>
      </c>
      <c r="AJ42" s="286" t="str">
        <f>M24</f>
        <v>SSV Strümp</v>
      </c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306"/>
      <c r="BE42" s="307"/>
      <c r="BF42" s="308"/>
      <c r="BG42" s="308"/>
      <c r="BH42" s="341"/>
      <c r="BI42" s="342"/>
      <c r="BJ42" s="92"/>
      <c r="BK42" s="93"/>
      <c r="BL42" s="93"/>
      <c r="BM42" s="93"/>
      <c r="BN42" s="93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2" s="1" customFormat="1" ht="16.5" customHeight="1">
      <c r="A43" s="35"/>
      <c r="B43" s="316">
        <v>13</v>
      </c>
      <c r="C43" s="317"/>
      <c r="D43" s="172">
        <v>1</v>
      </c>
      <c r="E43" s="173"/>
      <c r="F43" s="174"/>
      <c r="G43" s="172" t="s">
        <v>15</v>
      </c>
      <c r="H43" s="173"/>
      <c r="I43" s="174"/>
      <c r="J43" s="303">
        <f>J42+TEXT($U$10*($X$10/1440)+($AI$10/1440)+($AW$10/1440),"hh:mm")</f>
        <v>0.45833333333333337</v>
      </c>
      <c r="K43" s="304"/>
      <c r="L43" s="304"/>
      <c r="M43" s="305"/>
      <c r="N43" s="177" t="str">
        <f>B16</f>
        <v>SV Rosellen 3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39" t="s">
        <v>16</v>
      </c>
      <c r="AJ43" s="178" t="str">
        <f>B18</f>
        <v>TuS Hackenbroich</v>
      </c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270"/>
      <c r="BE43" s="265"/>
      <c r="BF43" s="266"/>
      <c r="BG43" s="266"/>
      <c r="BH43" s="268"/>
      <c r="BI43" s="340"/>
      <c r="BJ43" s="92"/>
      <c r="BK43" s="93"/>
      <c r="BL43" s="93"/>
      <c r="BM43" s="93"/>
      <c r="BN43" s="93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</row>
    <row r="44" spans="1:152" s="1" customFormat="1" ht="16.5" customHeight="1" thickBot="1">
      <c r="A44" s="35"/>
      <c r="B44" s="338">
        <v>14</v>
      </c>
      <c r="C44" s="339"/>
      <c r="D44" s="203">
        <v>2</v>
      </c>
      <c r="E44" s="204"/>
      <c r="F44" s="205"/>
      <c r="G44" s="203" t="s">
        <v>15</v>
      </c>
      <c r="H44" s="204"/>
      <c r="I44" s="205"/>
      <c r="J44" s="298">
        <f>J43</f>
        <v>0.45833333333333337</v>
      </c>
      <c r="K44" s="299"/>
      <c r="L44" s="299"/>
      <c r="M44" s="300"/>
      <c r="N44" s="285" t="str">
        <f>B17</f>
        <v>DSC 99 Düsseldorf</v>
      </c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49" t="s">
        <v>16</v>
      </c>
      <c r="AJ44" s="286" t="str">
        <f>B19</f>
        <v>DJK Viktoria Frechen</v>
      </c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306"/>
      <c r="BE44" s="307"/>
      <c r="BF44" s="308"/>
      <c r="BG44" s="308"/>
      <c r="BH44" s="341"/>
      <c r="BI44" s="342"/>
      <c r="BJ44" s="92"/>
      <c r="BK44" s="93"/>
      <c r="BL44" s="93"/>
      <c r="BM44" s="93"/>
      <c r="BN44" s="93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152" s="1" customFormat="1" ht="16.5" customHeight="1">
      <c r="A45" s="35"/>
      <c r="B45" s="316">
        <v>15</v>
      </c>
      <c r="C45" s="317"/>
      <c r="D45" s="206">
        <v>1</v>
      </c>
      <c r="E45" s="207"/>
      <c r="F45" s="208"/>
      <c r="G45" s="206" t="s">
        <v>17</v>
      </c>
      <c r="H45" s="207"/>
      <c r="I45" s="208"/>
      <c r="J45" s="303">
        <f>J44+TEXT($U$10*($X$10/1440)+($AI$10/1440)+($AW$10/1440),"hh:mm")</f>
        <v>0.47222222222222227</v>
      </c>
      <c r="K45" s="304"/>
      <c r="L45" s="304"/>
      <c r="M45" s="305"/>
      <c r="N45" s="177" t="str">
        <f>Y16</f>
        <v>SV Rosellen 1</v>
      </c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39" t="s">
        <v>16</v>
      </c>
      <c r="AJ45" s="178" t="str">
        <f>Y18</f>
        <v>1. FC Quadrath Ichendorf</v>
      </c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270"/>
      <c r="BE45" s="265"/>
      <c r="BF45" s="266"/>
      <c r="BG45" s="266"/>
      <c r="BH45" s="268"/>
      <c r="BI45" s="340"/>
      <c r="BJ45" s="92"/>
      <c r="BK45" s="93"/>
      <c r="BL45" s="93"/>
      <c r="BM45" s="93"/>
      <c r="BN45" s="93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</row>
    <row r="46" spans="1:152" s="1" customFormat="1" ht="16.5" customHeight="1" thickBot="1">
      <c r="A46" s="35"/>
      <c r="B46" s="338">
        <v>16</v>
      </c>
      <c r="C46" s="339"/>
      <c r="D46" s="209">
        <v>2</v>
      </c>
      <c r="E46" s="210"/>
      <c r="F46" s="211"/>
      <c r="G46" s="209" t="s">
        <v>17</v>
      </c>
      <c r="H46" s="210"/>
      <c r="I46" s="211"/>
      <c r="J46" s="298">
        <f>J45</f>
        <v>0.47222222222222227</v>
      </c>
      <c r="K46" s="299"/>
      <c r="L46" s="299"/>
      <c r="M46" s="300"/>
      <c r="N46" s="285" t="str">
        <f>Y17</f>
        <v>SV Nütterden</v>
      </c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49" t="s">
        <v>16</v>
      </c>
      <c r="AJ46" s="286" t="str">
        <f>Y19</f>
        <v>SC Blau-Weiß 06 Köln</v>
      </c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306"/>
      <c r="BE46" s="307"/>
      <c r="BF46" s="308"/>
      <c r="BG46" s="308"/>
      <c r="BH46" s="341"/>
      <c r="BI46" s="342"/>
      <c r="BJ46" s="92"/>
      <c r="BK46" s="93"/>
      <c r="BL46" s="93"/>
      <c r="BM46" s="93"/>
      <c r="BN46" s="93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</row>
    <row r="47" spans="1:152" s="1" customFormat="1" ht="16.5" customHeight="1">
      <c r="A47" s="35"/>
      <c r="B47" s="316">
        <v>17</v>
      </c>
      <c r="C47" s="317"/>
      <c r="D47" s="212">
        <v>1</v>
      </c>
      <c r="E47" s="213"/>
      <c r="F47" s="214"/>
      <c r="G47" s="212" t="s">
        <v>18</v>
      </c>
      <c r="H47" s="213"/>
      <c r="I47" s="214"/>
      <c r="J47" s="303">
        <f>J46+TEXT($U$10*($X$10/1440)+($AI$10/1440)+($AW$10/1440),"hh:mm")</f>
        <v>0.48611111111111116</v>
      </c>
      <c r="K47" s="304"/>
      <c r="L47" s="304"/>
      <c r="M47" s="305"/>
      <c r="N47" s="177" t="str">
        <f>M22</f>
        <v>SV Rosellen 2</v>
      </c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39" t="s">
        <v>16</v>
      </c>
      <c r="AJ47" s="178" t="str">
        <f>M24</f>
        <v>SSV Strümp</v>
      </c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270"/>
      <c r="BE47" s="265"/>
      <c r="BF47" s="266"/>
      <c r="BG47" s="266"/>
      <c r="BH47" s="268"/>
      <c r="BI47" s="340"/>
      <c r="BJ47" s="92"/>
      <c r="BK47" s="93"/>
      <c r="BL47" s="93"/>
      <c r="BM47" s="93"/>
      <c r="BN47" s="93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152" s="1" customFormat="1" ht="16.5" customHeight="1" thickBot="1">
      <c r="A48" s="35"/>
      <c r="B48" s="338">
        <v>18</v>
      </c>
      <c r="C48" s="339"/>
      <c r="D48" s="195">
        <v>2</v>
      </c>
      <c r="E48" s="196"/>
      <c r="F48" s="197"/>
      <c r="G48" s="195" t="s">
        <v>18</v>
      </c>
      <c r="H48" s="196"/>
      <c r="I48" s="197"/>
      <c r="J48" s="298">
        <f>J47</f>
        <v>0.48611111111111116</v>
      </c>
      <c r="K48" s="299"/>
      <c r="L48" s="299"/>
      <c r="M48" s="300"/>
      <c r="N48" s="285" t="str">
        <f>M23</f>
        <v>SG Orken-Noithausen</v>
      </c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49" t="s">
        <v>16</v>
      </c>
      <c r="AJ48" s="286" t="str">
        <f>M25</f>
        <v>DJK Hoisten</v>
      </c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306"/>
      <c r="BE48" s="307"/>
      <c r="BF48" s="308"/>
      <c r="BG48" s="308"/>
      <c r="BH48" s="341"/>
      <c r="BI48" s="342"/>
      <c r="BJ48" s="92"/>
      <c r="BK48" s="93"/>
      <c r="BL48" s="93"/>
      <c r="BM48" s="93"/>
      <c r="BN48" s="93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</row>
    <row r="49" spans="2:149" s="1" customFormat="1" ht="16.5" customHeight="1">
      <c r="B49" s="34"/>
      <c r="C49" s="34"/>
      <c r="D49" s="34"/>
      <c r="E49" s="34"/>
      <c r="F49" s="34"/>
      <c r="G49" s="34"/>
      <c r="H49" s="34"/>
      <c r="I49" s="34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2"/>
      <c r="AX49" s="52"/>
      <c r="AY49" s="52"/>
      <c r="AZ49" s="52"/>
      <c r="BA49" s="52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130:153" s="24" customFormat="1" ht="16.5" customHeight="1">
      <c r="DZ50" s="1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</row>
    <row r="51" spans="64:153" s="144" customFormat="1" ht="16.5" customHeight="1" thickBot="1">
      <c r="BL51" s="148"/>
      <c r="BM51" s="148"/>
      <c r="BN51" s="148"/>
      <c r="BO51" s="148"/>
      <c r="BP51" s="148"/>
      <c r="BQ51" s="148"/>
      <c r="BR51" s="148"/>
      <c r="BS51" s="60"/>
      <c r="BT51" s="77"/>
      <c r="BU51" s="77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145"/>
      <c r="DU51" s="145"/>
      <c r="DV51" s="145"/>
      <c r="DW51" s="52"/>
      <c r="DX51" s="52"/>
      <c r="DY51" s="52"/>
      <c r="DZ51" s="60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</row>
    <row r="52" spans="2:153" s="144" customFormat="1" ht="16.5" customHeight="1">
      <c r="B52" s="91"/>
      <c r="C52" s="91"/>
      <c r="D52" s="91"/>
      <c r="E52" s="91"/>
      <c r="F52" s="91"/>
      <c r="G52" s="2"/>
      <c r="H52" s="24"/>
      <c r="I52" s="33" t="s">
        <v>14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335" t="str">
        <f>L63</f>
        <v>SV Rosellen 3</v>
      </c>
      <c r="AH52" s="292"/>
      <c r="AI52" s="292"/>
      <c r="AJ52" s="292" t="str">
        <f>L64</f>
        <v>DSC 99 Düsseldorf</v>
      </c>
      <c r="AK52" s="292"/>
      <c r="AL52" s="292"/>
      <c r="AM52" s="292" t="str">
        <f>L65</f>
        <v>TuS Hackenbroich</v>
      </c>
      <c r="AN52" s="292"/>
      <c r="AO52" s="292"/>
      <c r="AP52" s="292" t="str">
        <f>L66</f>
        <v>DJK Viktoria Frechen</v>
      </c>
      <c r="AQ52" s="292"/>
      <c r="AR52" s="293"/>
      <c r="AS52" s="24"/>
      <c r="AT52" s="24"/>
      <c r="AU52" s="36"/>
      <c r="AV52" s="36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37"/>
      <c r="BJ52" s="37"/>
      <c r="BK52" s="29"/>
      <c r="BL52" s="29"/>
      <c r="BM52" s="29"/>
      <c r="BN52" s="29"/>
      <c r="BO52" s="25"/>
      <c r="BP52" s="148"/>
      <c r="BQ52" s="148"/>
      <c r="BR52" s="148"/>
      <c r="BS52" s="60"/>
      <c r="BT52" s="77"/>
      <c r="BU52" s="77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145"/>
      <c r="DU52" s="145"/>
      <c r="DV52" s="145"/>
      <c r="DW52" s="52"/>
      <c r="DX52" s="52"/>
      <c r="DY52" s="52"/>
      <c r="DZ52" s="60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</row>
    <row r="53" spans="2:153" s="144" customFormat="1" ht="16.5" customHeight="1">
      <c r="B53" s="91"/>
      <c r="C53" s="91"/>
      <c r="D53" s="91"/>
      <c r="E53" s="91"/>
      <c r="F53" s="91"/>
      <c r="G53" s="2"/>
      <c r="H53" s="24"/>
      <c r="I53" s="3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36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5"/>
      <c r="AS53" s="24"/>
      <c r="AT53" s="24"/>
      <c r="AU53" s="36"/>
      <c r="AV53" s="36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37"/>
      <c r="BJ53" s="37"/>
      <c r="BK53" s="29"/>
      <c r="BL53" s="29"/>
      <c r="BM53" s="29"/>
      <c r="BN53" s="29"/>
      <c r="BO53" s="25"/>
      <c r="BP53" s="148"/>
      <c r="BQ53" s="148"/>
      <c r="BR53" s="148"/>
      <c r="BS53" s="60"/>
      <c r="BT53" s="77"/>
      <c r="BU53" s="77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145"/>
      <c r="DU53" s="145"/>
      <c r="DV53" s="145"/>
      <c r="DW53" s="52"/>
      <c r="DX53" s="52"/>
      <c r="DY53" s="52"/>
      <c r="DZ53" s="60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</row>
    <row r="54" spans="2:153" s="144" customFormat="1" ht="16.5" customHeight="1">
      <c r="B54" s="91"/>
      <c r="C54" s="91"/>
      <c r="D54" s="91"/>
      <c r="E54" s="91"/>
      <c r="F54" s="91"/>
      <c r="G54" s="2"/>
      <c r="H54" s="24"/>
      <c r="I54" s="3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36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5"/>
      <c r="AS54" s="24"/>
      <c r="AT54" s="24"/>
      <c r="AU54" s="36"/>
      <c r="AV54" s="36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37"/>
      <c r="BJ54" s="37"/>
      <c r="BK54" s="29"/>
      <c r="BL54" s="29"/>
      <c r="BM54" s="29"/>
      <c r="BN54" s="29"/>
      <c r="BO54" s="25"/>
      <c r="BP54" s="148"/>
      <c r="BQ54" s="148"/>
      <c r="BR54" s="148"/>
      <c r="BS54" s="60"/>
      <c r="BT54" s="77"/>
      <c r="BU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145"/>
      <c r="DU54" s="145"/>
      <c r="DV54" s="145"/>
      <c r="DW54" s="52"/>
      <c r="DX54" s="52"/>
      <c r="DY54" s="52"/>
      <c r="DZ54" s="60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</row>
    <row r="55" spans="2:153" s="144" customFormat="1" ht="16.5" customHeight="1">
      <c r="B55" s="91"/>
      <c r="C55" s="91"/>
      <c r="D55" s="91"/>
      <c r="E55" s="91"/>
      <c r="F55" s="91"/>
      <c r="G55" s="2"/>
      <c r="H55" s="24"/>
      <c r="I55" s="3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36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5"/>
      <c r="AS55" s="24"/>
      <c r="AT55" s="24"/>
      <c r="AU55" s="36"/>
      <c r="AV55" s="36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37"/>
      <c r="BJ55" s="37"/>
      <c r="BK55" s="29"/>
      <c r="BL55" s="29"/>
      <c r="BM55" s="29"/>
      <c r="BN55" s="29"/>
      <c r="BO55" s="25"/>
      <c r="BP55" s="148"/>
      <c r="BQ55" s="148"/>
      <c r="BR55" s="148"/>
      <c r="BS55" s="60"/>
      <c r="BT55" s="77"/>
      <c r="BU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145"/>
      <c r="DU55" s="145"/>
      <c r="DV55" s="145"/>
      <c r="DW55" s="52"/>
      <c r="DX55" s="52"/>
      <c r="DY55" s="52"/>
      <c r="DZ55" s="60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</row>
    <row r="56" spans="2:151" s="144" customFormat="1" ht="16.5" customHeight="1">
      <c r="B56" s="40"/>
      <c r="C56" s="93"/>
      <c r="D56" s="93"/>
      <c r="E56" s="93"/>
      <c r="F56" s="93"/>
      <c r="G56" s="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336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5"/>
      <c r="AS56" s="24"/>
      <c r="AT56" s="24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7"/>
      <c r="BG56" s="37"/>
      <c r="BH56" s="37"/>
      <c r="BI56" s="37"/>
      <c r="BJ56" s="37"/>
      <c r="BK56" s="29"/>
      <c r="BL56" s="29"/>
      <c r="BM56" s="29"/>
      <c r="BN56" s="29"/>
      <c r="BO56" s="25"/>
      <c r="BP56" s="148"/>
      <c r="BQ56" s="60"/>
      <c r="BR56" s="77"/>
      <c r="BS56" s="77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145"/>
      <c r="DS56" s="145"/>
      <c r="DT56" s="145"/>
      <c r="DU56" s="52"/>
      <c r="DV56" s="52"/>
      <c r="DW56" s="52"/>
      <c r="DX56" s="60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</row>
    <row r="57" spans="2:151" s="144" customFormat="1" ht="16.5" customHeight="1">
      <c r="B57" s="1"/>
      <c r="C57" s="93"/>
      <c r="D57" s="93"/>
      <c r="E57" s="93"/>
      <c r="F57" s="93"/>
      <c r="G57" s="2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36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5"/>
      <c r="AS57" s="24"/>
      <c r="AT57" s="24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7"/>
      <c r="BG57" s="37"/>
      <c r="BH57" s="37"/>
      <c r="BI57" s="37"/>
      <c r="BJ57" s="37"/>
      <c r="BK57" s="29"/>
      <c r="BL57" s="29"/>
      <c r="BM57" s="29"/>
      <c r="BN57" s="29"/>
      <c r="BO57" s="25"/>
      <c r="BP57" s="148"/>
      <c r="BQ57" s="60"/>
      <c r="BR57" s="77"/>
      <c r="BS57" s="77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145"/>
      <c r="DS57" s="145"/>
      <c r="DT57" s="145"/>
      <c r="DU57" s="52"/>
      <c r="DV57" s="52"/>
      <c r="DW57" s="52"/>
      <c r="DX57" s="60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</row>
    <row r="58" spans="2:151" s="144" customFormat="1" ht="16.5" customHeight="1">
      <c r="B58" s="1"/>
      <c r="C58" s="93"/>
      <c r="D58" s="93"/>
      <c r="E58" s="93"/>
      <c r="F58" s="93"/>
      <c r="G58" s="2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36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5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9"/>
      <c r="BG58" s="29"/>
      <c r="BH58" s="29"/>
      <c r="BI58" s="29"/>
      <c r="BJ58" s="29"/>
      <c r="BK58" s="29"/>
      <c r="BL58" s="29"/>
      <c r="BM58" s="29"/>
      <c r="BN58" s="29"/>
      <c r="BO58" s="25"/>
      <c r="BP58" s="148"/>
      <c r="BQ58" s="60"/>
      <c r="BR58" s="77"/>
      <c r="BS58" s="77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145"/>
      <c r="DS58" s="145"/>
      <c r="DT58" s="145"/>
      <c r="DU58" s="52"/>
      <c r="DV58" s="52"/>
      <c r="DW58" s="52"/>
      <c r="DX58" s="60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</row>
    <row r="59" spans="2:151" s="144" customFormat="1" ht="16.5" customHeight="1">
      <c r="B59" s="93"/>
      <c r="C59" s="93"/>
      <c r="D59" s="93"/>
      <c r="E59" s="93"/>
      <c r="F59" s="93"/>
      <c r="G59" s="2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36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5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9"/>
      <c r="BG59" s="29"/>
      <c r="BH59" s="29"/>
      <c r="BI59" s="29"/>
      <c r="BJ59" s="29"/>
      <c r="BK59" s="29"/>
      <c r="BL59" s="29"/>
      <c r="BM59" s="29"/>
      <c r="BN59" s="29"/>
      <c r="BO59" s="25"/>
      <c r="BP59" s="148"/>
      <c r="BQ59" s="60"/>
      <c r="BR59" s="77"/>
      <c r="BS59" s="77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145"/>
      <c r="DS59" s="145"/>
      <c r="DT59" s="145"/>
      <c r="DU59" s="52"/>
      <c r="DV59" s="52"/>
      <c r="DW59" s="52"/>
      <c r="DX59" s="60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</row>
    <row r="60" spans="2:151" s="144" customFormat="1" ht="16.5" customHeight="1">
      <c r="B60" s="93"/>
      <c r="C60" s="93"/>
      <c r="D60" s="93"/>
      <c r="E60" s="93"/>
      <c r="F60" s="93"/>
      <c r="G60" s="2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336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5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9"/>
      <c r="BG60" s="29"/>
      <c r="BH60" s="29"/>
      <c r="BI60" s="29"/>
      <c r="BJ60" s="29"/>
      <c r="BK60" s="29"/>
      <c r="BL60" s="29"/>
      <c r="BM60" s="29"/>
      <c r="BN60" s="29"/>
      <c r="BO60" s="25"/>
      <c r="BP60" s="148"/>
      <c r="BQ60" s="60"/>
      <c r="BR60" s="77"/>
      <c r="BS60" s="77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145"/>
      <c r="DS60" s="145"/>
      <c r="DT60" s="145"/>
      <c r="DU60" s="52"/>
      <c r="DV60" s="52"/>
      <c r="DW60" s="52"/>
      <c r="DX60" s="60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</row>
    <row r="61" spans="2:151" s="144" customFormat="1" ht="16.5" customHeight="1" thickBot="1">
      <c r="B61" s="176" t="s">
        <v>45</v>
      </c>
      <c r="C61" s="176"/>
      <c r="D61" s="176"/>
      <c r="E61" s="176"/>
      <c r="F61" s="176"/>
      <c r="G61" s="176"/>
      <c r="H61" s="17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36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5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3"/>
      <c r="BP61" s="148"/>
      <c r="BQ61" s="60"/>
      <c r="BR61" s="77"/>
      <c r="BS61" s="77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145"/>
      <c r="DS61" s="145"/>
      <c r="DT61" s="145"/>
      <c r="DU61" s="52"/>
      <c r="DV61" s="52"/>
      <c r="DW61" s="52"/>
      <c r="DX61" s="60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</row>
    <row r="62" spans="2:151" s="144" customFormat="1" ht="16.5" customHeight="1" thickBot="1">
      <c r="B62" s="244" t="s">
        <v>46</v>
      </c>
      <c r="C62" s="244"/>
      <c r="D62" s="244"/>
      <c r="E62" s="244"/>
      <c r="F62" s="244" t="s">
        <v>47</v>
      </c>
      <c r="G62" s="244"/>
      <c r="H62" s="244"/>
      <c r="I62" s="41"/>
      <c r="J62" s="394" t="str">
        <f>IF(' '!L9=0,B15,IF(' '!B9&lt;&gt;' '!L9,"es liegen nicht alle Ergebnisse vor",B15))</f>
        <v>Gruppe A</v>
      </c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37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7"/>
      <c r="AS62" s="325" t="s">
        <v>19</v>
      </c>
      <c r="AT62" s="325"/>
      <c r="AU62" s="326"/>
      <c r="AV62" s="360" t="s">
        <v>20</v>
      </c>
      <c r="AW62" s="325"/>
      <c r="AX62" s="326"/>
      <c r="AY62" s="360" t="s">
        <v>21</v>
      </c>
      <c r="AZ62" s="325"/>
      <c r="BA62" s="326"/>
      <c r="BB62" s="360" t="s">
        <v>22</v>
      </c>
      <c r="BC62" s="325"/>
      <c r="BD62" s="326"/>
      <c r="BE62" s="325" t="s">
        <v>23</v>
      </c>
      <c r="BF62" s="325"/>
      <c r="BG62" s="325"/>
      <c r="BH62" s="325"/>
      <c r="BI62" s="325"/>
      <c r="BJ62" s="360" t="s">
        <v>24</v>
      </c>
      <c r="BK62" s="325"/>
      <c r="BL62" s="325"/>
      <c r="BM62" s="360" t="s">
        <v>25</v>
      </c>
      <c r="BN62" s="325"/>
      <c r="BO62" s="361"/>
      <c r="BP62" s="148"/>
      <c r="BQ62" s="60"/>
      <c r="BR62" s="77"/>
      <c r="BS62" s="77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145"/>
      <c r="DS62" s="145"/>
      <c r="DT62" s="145"/>
      <c r="DU62" s="52"/>
      <c r="DV62" s="52"/>
      <c r="DW62" s="52"/>
      <c r="DX62" s="60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</row>
    <row r="63" spans="2:151" s="144" customFormat="1" ht="16.5" customHeight="1">
      <c r="B63" s="175"/>
      <c r="C63" s="175"/>
      <c r="D63" s="175"/>
      <c r="E63" s="175"/>
      <c r="F63" s="175"/>
      <c r="G63" s="175"/>
      <c r="H63" s="175"/>
      <c r="I63" s="1"/>
      <c r="J63" s="245">
        <f>IF(' '!$L$9=0,"",1)</f>
      </c>
      <c r="K63" s="246"/>
      <c r="L63" s="321" t="str">
        <f>IF(' '!$L$9=0,B16,VLOOKUP(' '!B5,' '!$C$5:$O$8,4,0))</f>
        <v>SV Rosellen 3</v>
      </c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187"/>
      <c r="AH63" s="187"/>
      <c r="AI63" s="188"/>
      <c r="AJ63" s="329">
        <f>IF(AND(L63&amp;$AJ$52=VLOOKUP(L63&amp;$AJ$52,' '!$C$44:$G$79,1,0),VLOOKUP(L63&amp;$AJ$52,' '!$C$44:$G$79,4,0)&lt;&gt;""),VLOOKUP(L63&amp;$AJ$52,' '!$C$44:$G$79,4,0),VLOOKUP(L63&amp;$AJ$52,' '!$C$44:$G$79,5,0))</f>
      </c>
      <c r="AK63" s="329"/>
      <c r="AL63" s="329"/>
      <c r="AM63" s="329">
        <f>IF(AND(L63&amp;$AM$52=VLOOKUP(L63&amp;$AM$52,' '!$C$44:$G$79,1,0),VLOOKUP(L63&amp;$AM$52,' '!$C$44:$G$79,4,0)&lt;&gt;""),VLOOKUP(L63&amp;$AM$52,' '!$C$44:$G$79,4,0),VLOOKUP(L63&amp;$AM$52,' '!$C$44:$G$79,5,0))</f>
      </c>
      <c r="AN63" s="329"/>
      <c r="AO63" s="329"/>
      <c r="AP63" s="327">
        <f>IF(AND(L63&amp;$AP$52=VLOOKUP(L63&amp;$AP$52,' '!$C$44:$G$79,1,0),VLOOKUP(L63&amp;$AP$52,' '!$C$44:$G$79,4,0)&lt;&gt;""),VLOOKUP(L63&amp;$AP$52,' '!$C$44:$G$79,4,0),VLOOKUP(L63&amp;$AP$52,' '!$C$44:$G$79,5,0))</f>
      </c>
      <c r="AQ63" s="328"/>
      <c r="AR63" s="328"/>
      <c r="AS63" s="332">
        <f>IF(' '!$L$9=0,"",VLOOKUP(' '!B5,' '!$C$5:$O$8,10,0))</f>
      </c>
      <c r="AT63" s="332"/>
      <c r="AU63" s="333"/>
      <c r="AV63" s="223">
        <f>IF(' '!$L$9=0,"",VLOOKUP(' '!B5,' '!$C$5:$O$8,11,0))</f>
      </c>
      <c r="AW63" s="224"/>
      <c r="AX63" s="225"/>
      <c r="AY63" s="223">
        <f>IF(' '!$L$9=0,"",VLOOKUP(' '!B5,' '!$C$5:$O$8,12,0))</f>
      </c>
      <c r="AZ63" s="224"/>
      <c r="BA63" s="225"/>
      <c r="BB63" s="223">
        <f>IF(' '!$L$9=0,"",VLOOKUP(' '!B5,' '!$C$5:$O$8,13,0))</f>
      </c>
      <c r="BC63" s="224"/>
      <c r="BD63" s="225"/>
      <c r="BE63" s="223">
        <f>IF(' '!$L$9=0,"",VLOOKUP(' '!B5,' '!$C$5:$O$8,5,0))</f>
      </c>
      <c r="BF63" s="224"/>
      <c r="BG63" s="42">
        <f>IF(' '!$L$9=0,"",":")</f>
      </c>
      <c r="BH63" s="224">
        <f>IF(' '!$L$9=0,"",VLOOKUP(' '!B5,' '!$C$5:$O$8,6,0))</f>
      </c>
      <c r="BI63" s="225"/>
      <c r="BJ63" s="229">
        <f>IF(' '!$L$9=0,"",BE63-BH63)</f>
      </c>
      <c r="BK63" s="230"/>
      <c r="BL63" s="230"/>
      <c r="BM63" s="223">
        <f>IF(' '!$L$9=0,"",VLOOKUP(' '!B5,' '!$C$5:$O$8,7,0))</f>
      </c>
      <c r="BN63" s="224"/>
      <c r="BO63" s="334"/>
      <c r="BP63" s="148"/>
      <c r="BQ63" s="60"/>
      <c r="BR63" s="77"/>
      <c r="BS63" s="77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145"/>
      <c r="DS63" s="145"/>
      <c r="DT63" s="145"/>
      <c r="DU63" s="52"/>
      <c r="DV63" s="52"/>
      <c r="DW63" s="52"/>
      <c r="DX63" s="60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</row>
    <row r="64" spans="2:151" s="144" customFormat="1" ht="16.5" customHeight="1">
      <c r="B64" s="175"/>
      <c r="C64" s="175"/>
      <c r="D64" s="175"/>
      <c r="E64" s="175"/>
      <c r="F64" s="175"/>
      <c r="G64" s="175"/>
      <c r="H64" s="175"/>
      <c r="I64" s="1"/>
      <c r="J64" s="245">
        <f>IF(' '!$L$9=0,"",IF(VLOOKUP(' '!B6,' '!$C$5:$E$8,3,0)=MAX(J$63:J63),"",' '!B6))</f>
      </c>
      <c r="K64" s="246"/>
      <c r="L64" s="183" t="str">
        <f>IF(' '!$L$9=0,B17,VLOOKUP(' '!B6,' '!$C$5:$O$8,4,0))</f>
        <v>DSC 99 Düsseldorf</v>
      </c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5">
        <f>IF(AND(L64&amp;$AG$52=VLOOKUP(L64&amp;$AG$52,' '!$C$44:$G$79,1,0),VLOOKUP(L64&amp;$AG$52,' '!$C$44:$G$79,4,0)&lt;&gt;""),VLOOKUP(L64&amp;$AG$52,' '!$C$44:$G$79,4,0),VLOOKUP(L64&amp;$AG$52,' '!$C$44:$G$79,5,0))</f>
      </c>
      <c r="AH64" s="185"/>
      <c r="AI64" s="186"/>
      <c r="AJ64" s="393"/>
      <c r="AK64" s="393"/>
      <c r="AL64" s="393"/>
      <c r="AM64" s="323">
        <f>IF(AND(L64&amp;$AM$52=VLOOKUP(L64&amp;$AM$52,' '!$C$44:$G$79,1,0),VLOOKUP(L64&amp;$AM$52,' '!$C$44:$G$79,4,0)&lt;&gt;""),VLOOKUP(L64&amp;$AM$52,' '!$C$44:$G$79,4,0),VLOOKUP(L64&amp;$AM$52,' '!$C$44:$G$79,5,0))</f>
      </c>
      <c r="AN64" s="323"/>
      <c r="AO64" s="323"/>
      <c r="AP64" s="324">
        <f>IF(AND(L64&amp;$AP$52=VLOOKUP(L64&amp;$AP$52,' '!$C$44:$G$79,1,0),VLOOKUP(L64&amp;$AP$52,' '!$C$44:$G$79,4,0)&lt;&gt;""),VLOOKUP(L64&amp;$AP$52,' '!$C$44:$G$79,4,0),VLOOKUP(L64&amp;$AP$52,' '!$C$44:$G$79,5,0))</f>
      </c>
      <c r="AQ64" s="185"/>
      <c r="AR64" s="185"/>
      <c r="AS64" s="366">
        <f>IF(' '!$L$9=0,"",VLOOKUP(' '!B6,' '!$C$5:$O$8,10,0))</f>
      </c>
      <c r="AT64" s="366"/>
      <c r="AU64" s="367"/>
      <c r="AV64" s="223">
        <f>IF(' '!$L$9=0,"",VLOOKUP(' '!B6,' '!$C$5:$O$8,11,0))</f>
      </c>
      <c r="AW64" s="224"/>
      <c r="AX64" s="225"/>
      <c r="AY64" s="223">
        <f>IF(' '!$L$9=0,"",VLOOKUP(' '!B6,' '!$C$5:$O$8,12,0))</f>
      </c>
      <c r="AZ64" s="224"/>
      <c r="BA64" s="225"/>
      <c r="BB64" s="223">
        <f>IF(' '!$L$9=0,"",VLOOKUP(' '!B6,' '!$C$5:$O$8,13,0))</f>
      </c>
      <c r="BC64" s="224"/>
      <c r="BD64" s="225"/>
      <c r="BE64" s="223">
        <f>IF(' '!$L$9=0,"",VLOOKUP(' '!B6,' '!$C$5:$O$8,5,0))</f>
      </c>
      <c r="BF64" s="224"/>
      <c r="BG64" s="42">
        <f>IF(' '!$L$9=0,"",":")</f>
      </c>
      <c r="BH64" s="224">
        <f>IF(' '!$L$9=0,"",VLOOKUP(' '!B6,' '!$C$5:$O$8,6,0))</f>
      </c>
      <c r="BI64" s="225"/>
      <c r="BJ64" s="229">
        <f>IF(' '!$L$9=0,"",BE64-BH64)</f>
      </c>
      <c r="BK64" s="230"/>
      <c r="BL64" s="230"/>
      <c r="BM64" s="223">
        <f>IF(' '!$L$9=0,"",VLOOKUP(' '!B6,' '!$C$5:$O$8,7,0))</f>
      </c>
      <c r="BN64" s="224"/>
      <c r="BO64" s="334"/>
      <c r="BP64" s="148"/>
      <c r="BQ64" s="60"/>
      <c r="BR64" s="77"/>
      <c r="BS64" s="77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145"/>
      <c r="DS64" s="145"/>
      <c r="DT64" s="145"/>
      <c r="DU64" s="52"/>
      <c r="DV64" s="52"/>
      <c r="DW64" s="52"/>
      <c r="DX64" s="60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</row>
    <row r="65" spans="2:151" s="144" customFormat="1" ht="16.5" customHeight="1">
      <c r="B65" s="175"/>
      <c r="C65" s="175"/>
      <c r="D65" s="175"/>
      <c r="E65" s="175"/>
      <c r="F65" s="175"/>
      <c r="G65" s="175"/>
      <c r="H65" s="175"/>
      <c r="I65" s="1"/>
      <c r="J65" s="245">
        <f>IF(' '!$L$9=0,"",IF(VLOOKUP(' '!B7,' '!$C$5:$E$8,3,0)=MAX(J$63:J64),"",' '!B7))</f>
      </c>
      <c r="K65" s="311"/>
      <c r="L65" s="183" t="str">
        <f>IF(' '!$L$9=0,B18,VLOOKUP(' '!B7,' '!$C$5:$O$8,4,0))</f>
        <v>TuS Hackenbroich</v>
      </c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5">
        <f>IF(AND(L65&amp;$AG$52=VLOOKUP(L65&amp;$AG$52,' '!$C$44:$G$79,1,0),VLOOKUP(L65&amp;$AG$52,' '!$C$44:$G$79,4,0)&lt;&gt;""),VLOOKUP(L65&amp;$AG$52,' '!$C$44:$G$79,4,0),VLOOKUP(L65&amp;$AG$52,' '!$C$44:$G$79,5,0))</f>
      </c>
      <c r="AH65" s="185"/>
      <c r="AI65" s="186"/>
      <c r="AJ65" s="323">
        <f>IF(AND(L65&amp;$AJ$52=VLOOKUP(L65&amp;$AJ$52,' '!$C$44:$G$79,1,0),VLOOKUP(L65&amp;$AJ$52,' '!$C$44:$G$79,4,0)&lt;&gt;""),VLOOKUP(L65&amp;$AJ$52,' '!$C$44:$G$79,4,0),VLOOKUP(L65&amp;$AJ$52,' '!$C$44:$G$79,5,0))</f>
      </c>
      <c r="AK65" s="323"/>
      <c r="AL65" s="323"/>
      <c r="AM65" s="393"/>
      <c r="AN65" s="393"/>
      <c r="AO65" s="393"/>
      <c r="AP65" s="324">
        <f>IF(AND(L65&amp;$AP$52=VLOOKUP(L65&amp;$AP$52,' '!$C$44:$G$79,1,0),VLOOKUP(L65&amp;$AP$52,' '!$C$44:$G$79,4,0)&lt;&gt;""),VLOOKUP(L65&amp;$AP$52,' '!$C$44:$G$79,4,0),VLOOKUP(L65&amp;$AP$52,' '!$C$44:$G$79,5,0))</f>
      </c>
      <c r="AQ65" s="185"/>
      <c r="AR65" s="185"/>
      <c r="AS65" s="366">
        <f>IF(' '!$L$9=0,"",VLOOKUP(' '!B7,' '!$C$5:$O$8,10,0))</f>
      </c>
      <c r="AT65" s="366"/>
      <c r="AU65" s="367"/>
      <c r="AV65" s="343">
        <f>IF(' '!$L$9=0,"",VLOOKUP(' '!B7,' '!$C$5:$O$8,11,0))</f>
      </c>
      <c r="AW65" s="343"/>
      <c r="AX65" s="343"/>
      <c r="AY65" s="343">
        <f>IF(' '!$L$9=0,"",VLOOKUP(' '!B7,' '!$C$5:$O$8,12,0))</f>
      </c>
      <c r="AZ65" s="343"/>
      <c r="BA65" s="343"/>
      <c r="BB65" s="343">
        <f>IF(' '!$L$9=0,"",VLOOKUP(' '!B7,' '!$C$5:$O$8,13,0))</f>
      </c>
      <c r="BC65" s="343"/>
      <c r="BD65" s="343"/>
      <c r="BE65" s="224">
        <f>IF(' '!$L$9=0,"",VLOOKUP(' '!B7,' '!$C$5:$O$8,5,0))</f>
      </c>
      <c r="BF65" s="224"/>
      <c r="BG65" s="42">
        <f>IF(' '!$L$9=0,"",":")</f>
      </c>
      <c r="BH65" s="224">
        <f>IF(' '!$L$9=0,"",VLOOKUP(' '!B7,' '!$C$5:$O$8,6,0))</f>
      </c>
      <c r="BI65" s="224"/>
      <c r="BJ65" s="349">
        <f>IF(' '!$L$9=0,"",BE65-BH65)</f>
      </c>
      <c r="BK65" s="349"/>
      <c r="BL65" s="229"/>
      <c r="BM65" s="343">
        <f>IF(' '!$L$9=0,"",VLOOKUP(' '!B7,' '!$C$5:$O$8,7,0))</f>
      </c>
      <c r="BN65" s="343"/>
      <c r="BO65" s="344"/>
      <c r="BP65" s="148"/>
      <c r="BQ65" s="60"/>
      <c r="BR65" s="77"/>
      <c r="BS65" s="77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145"/>
      <c r="DS65" s="145"/>
      <c r="DT65" s="145"/>
      <c r="DU65" s="52"/>
      <c r="DV65" s="52"/>
      <c r="DW65" s="52"/>
      <c r="DX65" s="60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</row>
    <row r="66" spans="2:151" s="144" customFormat="1" ht="16.5" customHeight="1" thickBot="1">
      <c r="B66" s="175"/>
      <c r="C66" s="175"/>
      <c r="D66" s="175"/>
      <c r="E66" s="175"/>
      <c r="F66" s="175"/>
      <c r="G66" s="175"/>
      <c r="H66" s="175"/>
      <c r="I66" s="1"/>
      <c r="J66" s="179">
        <f>IF(' '!$L$9=0,"",IF(VLOOKUP(' '!B8,' '!$C$5:$E$8,3,0)=MAX(J$63:J65),"",' '!B8))</f>
      </c>
      <c r="K66" s="180"/>
      <c r="L66" s="181" t="str">
        <f>IF(' '!$L$9=0,B19,VLOOKUP(' '!B8,' '!$C$5:$O$8,4,0))</f>
        <v>DJK Viktoria Frechen</v>
      </c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330">
        <f>IF(AND(L66&amp;$AG$52=VLOOKUP(L66&amp;$AG$52,' '!$C$44:$G$79,1,0),VLOOKUP(L66&amp;$AG$52,' '!$C$44:$G$79,4,0)&lt;&gt;""),VLOOKUP(L66&amp;$AG$52,' '!$C$44:$G$79,4,0),VLOOKUP(L66&amp;$AG$52,' '!$C$44:$G$79,5,0))</f>
      </c>
      <c r="AH66" s="330"/>
      <c r="AI66" s="331"/>
      <c r="AJ66" s="348">
        <f>IF(AND(L66&amp;$AJ$52=VLOOKUP(L66&amp;$AJ$52,' '!$C$44:$G$79,1,0),VLOOKUP(L66&amp;$AJ$52,' '!$C$44:$G$79,4,0)&lt;&gt;""),VLOOKUP(L66&amp;$AJ$52,' '!$C$44:$G$79,4,0),VLOOKUP(L66&amp;$AJ$52,' '!$C$44:$G$79,5,0))</f>
      </c>
      <c r="AK66" s="348"/>
      <c r="AL66" s="348"/>
      <c r="AM66" s="348">
        <f>IF(AND(L66&amp;$AM$52=VLOOKUP(L66&amp;$AM$52,' '!$C$44:$G$79,1,0),VLOOKUP(L66&amp;$AM$52,' '!$C$44:$G$79,4,0)&lt;&gt;""),VLOOKUP(L66&amp;$AM$52,' '!$C$44:$G$79,4,0),VLOOKUP(L66&amp;$AM$52,' '!$C$44:$G$79,5,0))</f>
      </c>
      <c r="AN66" s="348"/>
      <c r="AO66" s="348"/>
      <c r="AP66" s="379"/>
      <c r="AQ66" s="380"/>
      <c r="AR66" s="380"/>
      <c r="AS66" s="368">
        <f>IF(' '!$L$9=0,"",VLOOKUP(' '!B8,' '!$C$5:$O$8,10,0))</f>
      </c>
      <c r="AT66" s="368"/>
      <c r="AU66" s="369"/>
      <c r="AV66" s="350">
        <f>IF(' '!$L$9=0,"",VLOOKUP(' '!B8,' '!$C$5:$O$8,11,0))</f>
      </c>
      <c r="AW66" s="350"/>
      <c r="AX66" s="350"/>
      <c r="AY66" s="350">
        <f>IF(' '!$L$9=0,"",VLOOKUP(' '!B8,' '!$C$5:$O$8,12,0))</f>
      </c>
      <c r="AZ66" s="350"/>
      <c r="BA66" s="350"/>
      <c r="BB66" s="350">
        <f>IF(' '!$L$9=0,"",VLOOKUP(' '!B8,' '!$C$5:$O$8,13,0))</f>
      </c>
      <c r="BC66" s="350"/>
      <c r="BD66" s="350"/>
      <c r="BE66" s="227">
        <f>IF(' '!$L$9=0,"",VLOOKUP(' '!B8,' '!$C$5:$O$8,5,0))</f>
      </c>
      <c r="BF66" s="227"/>
      <c r="BG66" s="43">
        <f>IF(' '!$L$9=0,"",":")</f>
      </c>
      <c r="BH66" s="227">
        <f>IF(' '!$L$9=0,"",VLOOKUP(' '!B8,' '!$C$5:$O$8,6,0))</f>
      </c>
      <c r="BI66" s="227"/>
      <c r="BJ66" s="352">
        <f>IF(' '!$L$9=0,"",BE66-BH66)</f>
      </c>
      <c r="BK66" s="352"/>
      <c r="BL66" s="353"/>
      <c r="BM66" s="350">
        <f>IF(' '!$L$9=0,"",VLOOKUP(' '!B8,' '!$C$5:$O$8,7,0))</f>
      </c>
      <c r="BN66" s="350"/>
      <c r="BO66" s="351"/>
      <c r="BP66" s="148"/>
      <c r="BQ66" s="60"/>
      <c r="BR66" s="77"/>
      <c r="BS66" s="77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145"/>
      <c r="DS66" s="145"/>
      <c r="DT66" s="145"/>
      <c r="DU66" s="52"/>
      <c r="DV66" s="52"/>
      <c r="DW66" s="52"/>
      <c r="DX66" s="60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</row>
    <row r="67" spans="2:151" s="144" customFormat="1" ht="16.5" customHeight="1" thickBot="1">
      <c r="B67" s="105"/>
      <c r="C67" s="105"/>
      <c r="D67" s="105"/>
      <c r="E67" s="105"/>
      <c r="F67" s="105"/>
      <c r="G67" s="105"/>
      <c r="H67" s="105"/>
      <c r="I67" s="1"/>
      <c r="J67" s="44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7"/>
      <c r="BH67" s="46"/>
      <c r="BI67" s="46"/>
      <c r="BJ67" s="48"/>
      <c r="BK67" s="48"/>
      <c r="BL67" s="48"/>
      <c r="BM67" s="46"/>
      <c r="BN67" s="46"/>
      <c r="BO67" s="46"/>
      <c r="BP67" s="148"/>
      <c r="BQ67" s="60"/>
      <c r="BR67" s="77"/>
      <c r="BS67" s="77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145"/>
      <c r="DS67" s="145"/>
      <c r="DT67" s="145"/>
      <c r="DU67" s="52"/>
      <c r="DV67" s="52"/>
      <c r="DW67" s="52"/>
      <c r="DX67" s="60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</row>
    <row r="68" spans="2:151" s="144" customFormat="1" ht="16.5" customHeight="1">
      <c r="B68" s="93"/>
      <c r="C68" s="93"/>
      <c r="D68" s="93"/>
      <c r="E68" s="93"/>
      <c r="F68" s="93"/>
      <c r="G68" s="2"/>
      <c r="H68" s="76"/>
      <c r="I68" s="1"/>
      <c r="J68" s="44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189" t="str">
        <f>L79</f>
        <v>SV Rosellen 1</v>
      </c>
      <c r="AH68" s="190"/>
      <c r="AI68" s="190"/>
      <c r="AJ68" s="190" t="str">
        <f>L80</f>
        <v>SV Nütterden</v>
      </c>
      <c r="AK68" s="190"/>
      <c r="AL68" s="190"/>
      <c r="AM68" s="190" t="str">
        <f>L81</f>
        <v>1. FC Quadrath Ichendorf</v>
      </c>
      <c r="AN68" s="190"/>
      <c r="AO68" s="190"/>
      <c r="AP68" s="190" t="str">
        <f>L82</f>
        <v>SC Blau-Weiß 06 Köln</v>
      </c>
      <c r="AQ68" s="190"/>
      <c r="AR68" s="354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7"/>
      <c r="BH68" s="46"/>
      <c r="BI68" s="46"/>
      <c r="BJ68" s="48"/>
      <c r="BK68" s="48"/>
      <c r="BL68" s="48"/>
      <c r="BM68" s="46"/>
      <c r="BN68" s="46"/>
      <c r="BO68" s="46"/>
      <c r="BP68" s="148"/>
      <c r="BQ68" s="60"/>
      <c r="BR68" s="77"/>
      <c r="BS68" s="77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145"/>
      <c r="DS68" s="145"/>
      <c r="DT68" s="145"/>
      <c r="DU68" s="52"/>
      <c r="DV68" s="52"/>
      <c r="DW68" s="52"/>
      <c r="DX68" s="60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</row>
    <row r="69" spans="2:151" s="144" customFormat="1" ht="16.5" customHeight="1">
      <c r="B69" s="93"/>
      <c r="C69" s="93"/>
      <c r="D69" s="93"/>
      <c r="E69" s="93"/>
      <c r="F69" s="93"/>
      <c r="G69" s="2"/>
      <c r="H69" s="76"/>
      <c r="I69" s="1"/>
      <c r="J69" s="44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191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355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7"/>
      <c r="BH69" s="46"/>
      <c r="BI69" s="46"/>
      <c r="BJ69" s="48"/>
      <c r="BK69" s="48"/>
      <c r="BL69" s="48"/>
      <c r="BM69" s="46"/>
      <c r="BN69" s="46"/>
      <c r="BO69" s="46"/>
      <c r="BP69" s="148"/>
      <c r="BQ69" s="60"/>
      <c r="BR69" s="77"/>
      <c r="BS69" s="77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145"/>
      <c r="DS69" s="145"/>
      <c r="DT69" s="145"/>
      <c r="DU69" s="52"/>
      <c r="DV69" s="52"/>
      <c r="DW69" s="52"/>
      <c r="DX69" s="60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</row>
    <row r="70" spans="2:151" s="144" customFormat="1" ht="16.5" customHeight="1">
      <c r="B70" s="93"/>
      <c r="C70" s="93"/>
      <c r="D70" s="93"/>
      <c r="E70" s="93"/>
      <c r="F70" s="93"/>
      <c r="G70" s="2"/>
      <c r="H70" s="76"/>
      <c r="I70" s="1"/>
      <c r="J70" s="44"/>
      <c r="K70" s="4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191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355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7"/>
      <c r="BH70" s="46"/>
      <c r="BI70" s="46"/>
      <c r="BJ70" s="48"/>
      <c r="BK70" s="48"/>
      <c r="BL70" s="48"/>
      <c r="BM70" s="46"/>
      <c r="BN70" s="46"/>
      <c r="BO70" s="46"/>
      <c r="BP70" s="148"/>
      <c r="BQ70" s="60"/>
      <c r="BR70" s="77"/>
      <c r="BS70" s="77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145"/>
      <c r="DS70" s="145"/>
      <c r="DT70" s="145"/>
      <c r="DU70" s="52"/>
      <c r="DV70" s="52"/>
      <c r="DW70" s="52"/>
      <c r="DX70" s="60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</row>
    <row r="71" spans="2:151" s="144" customFormat="1" ht="16.5" customHeight="1">
      <c r="B71" s="93"/>
      <c r="C71" s="93"/>
      <c r="D71" s="93"/>
      <c r="E71" s="93"/>
      <c r="F71" s="93"/>
      <c r="G71" s="2"/>
      <c r="H71" s="76"/>
      <c r="I71" s="1"/>
      <c r="J71" s="44"/>
      <c r="K71" s="44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191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355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7"/>
      <c r="BH71" s="46"/>
      <c r="BI71" s="46"/>
      <c r="BJ71" s="48"/>
      <c r="BK71" s="48"/>
      <c r="BL71" s="48"/>
      <c r="BM71" s="46"/>
      <c r="BN71" s="46"/>
      <c r="BO71" s="46"/>
      <c r="BP71" s="148"/>
      <c r="BQ71" s="60"/>
      <c r="BR71" s="77"/>
      <c r="BS71" s="77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145"/>
      <c r="DS71" s="145"/>
      <c r="DT71" s="145"/>
      <c r="DU71" s="52"/>
      <c r="DV71" s="52"/>
      <c r="DW71" s="52"/>
      <c r="DX71" s="60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</row>
    <row r="72" spans="2:151" s="144" customFormat="1" ht="16.5" customHeight="1">
      <c r="B72" s="93"/>
      <c r="C72" s="93"/>
      <c r="D72" s="93"/>
      <c r="E72" s="93"/>
      <c r="F72" s="93"/>
      <c r="G72" s="2"/>
      <c r="H72" s="76"/>
      <c r="I72" s="1"/>
      <c r="J72" s="44"/>
      <c r="K72" s="44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191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355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7"/>
      <c r="BH72" s="46"/>
      <c r="BI72" s="46"/>
      <c r="BJ72" s="48"/>
      <c r="BK72" s="48"/>
      <c r="BL72" s="48"/>
      <c r="BM72" s="46"/>
      <c r="BN72" s="46"/>
      <c r="BO72" s="46"/>
      <c r="BP72" s="148"/>
      <c r="BQ72" s="60"/>
      <c r="BR72" s="77"/>
      <c r="BS72" s="77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145"/>
      <c r="DS72" s="145"/>
      <c r="DT72" s="145"/>
      <c r="DU72" s="52"/>
      <c r="DV72" s="52"/>
      <c r="DW72" s="52"/>
      <c r="DX72" s="60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</row>
    <row r="73" spans="2:151" s="144" customFormat="1" ht="16.5" customHeight="1">
      <c r="B73" s="93"/>
      <c r="C73" s="93"/>
      <c r="D73" s="93"/>
      <c r="E73" s="93"/>
      <c r="F73" s="93"/>
      <c r="G73" s="2"/>
      <c r="H73" s="1"/>
      <c r="I73" s="1"/>
      <c r="J73" s="44"/>
      <c r="K73" s="44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191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355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7"/>
      <c r="BH73" s="46"/>
      <c r="BI73" s="46"/>
      <c r="BJ73" s="48"/>
      <c r="BK73" s="48"/>
      <c r="BL73" s="48"/>
      <c r="BM73" s="46"/>
      <c r="BN73" s="46"/>
      <c r="BO73" s="46"/>
      <c r="BP73" s="148"/>
      <c r="BQ73" s="60"/>
      <c r="BR73" s="77"/>
      <c r="BS73" s="77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145"/>
      <c r="DS73" s="145"/>
      <c r="DT73" s="145"/>
      <c r="DU73" s="52"/>
      <c r="DV73" s="52"/>
      <c r="DW73" s="52"/>
      <c r="DX73" s="60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</row>
    <row r="74" spans="2:151" s="144" customFormat="1" ht="16.5" customHeight="1">
      <c r="B74" s="93"/>
      <c r="C74" s="93"/>
      <c r="D74" s="93"/>
      <c r="E74" s="93"/>
      <c r="F74" s="93"/>
      <c r="G74" s="2"/>
      <c r="H74" s="1"/>
      <c r="I74" s="1"/>
      <c r="J74" s="44"/>
      <c r="K74" s="44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191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355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7"/>
      <c r="BH74" s="46"/>
      <c r="BI74" s="46"/>
      <c r="BJ74" s="48"/>
      <c r="BK74" s="48"/>
      <c r="BL74" s="48"/>
      <c r="BM74" s="46"/>
      <c r="BN74" s="46"/>
      <c r="BO74" s="46"/>
      <c r="BP74" s="148"/>
      <c r="BQ74" s="60"/>
      <c r="BR74" s="77"/>
      <c r="BS74" s="77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145"/>
      <c r="DS74" s="145"/>
      <c r="DT74" s="145"/>
      <c r="DU74" s="52"/>
      <c r="DV74" s="52"/>
      <c r="DW74" s="52"/>
      <c r="DX74" s="60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</row>
    <row r="75" spans="2:151" s="144" customFormat="1" ht="16.5" customHeight="1">
      <c r="B75" s="93"/>
      <c r="C75" s="93"/>
      <c r="D75" s="93"/>
      <c r="E75" s="93"/>
      <c r="F75" s="93"/>
      <c r="G75" s="2"/>
      <c r="H75" s="1"/>
      <c r="I75" s="1"/>
      <c r="J75" s="44"/>
      <c r="K75" s="44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191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355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7"/>
      <c r="BH75" s="46"/>
      <c r="BI75" s="46"/>
      <c r="BJ75" s="48"/>
      <c r="BK75" s="48"/>
      <c r="BL75" s="48"/>
      <c r="BM75" s="46"/>
      <c r="BN75" s="46"/>
      <c r="BO75" s="46"/>
      <c r="BP75" s="148"/>
      <c r="BQ75" s="60"/>
      <c r="BR75" s="77"/>
      <c r="BS75" s="77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145"/>
      <c r="DS75" s="145"/>
      <c r="DT75" s="145"/>
      <c r="DU75" s="52"/>
      <c r="DV75" s="52"/>
      <c r="DW75" s="52"/>
      <c r="DX75" s="60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</row>
    <row r="76" spans="2:151" s="144" customFormat="1" ht="16.5" customHeight="1">
      <c r="B76" s="93"/>
      <c r="C76" s="93"/>
      <c r="D76" s="93"/>
      <c r="E76" s="93"/>
      <c r="F76" s="93"/>
      <c r="G76" s="2"/>
      <c r="H76" s="1"/>
      <c r="I76" s="1"/>
      <c r="J76" s="44"/>
      <c r="K76" s="44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191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355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7"/>
      <c r="BH76" s="46"/>
      <c r="BI76" s="46"/>
      <c r="BJ76" s="48"/>
      <c r="BK76" s="48"/>
      <c r="BL76" s="48"/>
      <c r="BM76" s="46"/>
      <c r="BN76" s="46"/>
      <c r="BO76" s="46"/>
      <c r="BP76" s="148"/>
      <c r="BQ76" s="60"/>
      <c r="BR76" s="77"/>
      <c r="BS76" s="77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145"/>
      <c r="DS76" s="145"/>
      <c r="DT76" s="145"/>
      <c r="DU76" s="52"/>
      <c r="DV76" s="52"/>
      <c r="DW76" s="52"/>
      <c r="DX76" s="60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</row>
    <row r="77" spans="2:151" s="144" customFormat="1" ht="16.5" customHeight="1" thickBot="1">
      <c r="B77" s="176" t="s">
        <v>45</v>
      </c>
      <c r="C77" s="176"/>
      <c r="D77" s="176"/>
      <c r="E77" s="176"/>
      <c r="F77" s="176"/>
      <c r="G77" s="176"/>
      <c r="H77" s="176"/>
      <c r="I77" s="1"/>
      <c r="J77" s="44"/>
      <c r="K77" s="44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191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355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7"/>
      <c r="BH77" s="46"/>
      <c r="BI77" s="46"/>
      <c r="BJ77" s="48"/>
      <c r="BK77" s="48"/>
      <c r="BL77" s="48"/>
      <c r="BM77" s="46"/>
      <c r="BN77" s="46"/>
      <c r="BO77" s="46"/>
      <c r="BP77" s="148"/>
      <c r="BQ77" s="60"/>
      <c r="BR77" s="77"/>
      <c r="BS77" s="77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145"/>
      <c r="DS77" s="145"/>
      <c r="DT77" s="145"/>
      <c r="DU77" s="52"/>
      <c r="DV77" s="52"/>
      <c r="DW77" s="52"/>
      <c r="DX77" s="60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</row>
    <row r="78" spans="2:151" s="144" customFormat="1" ht="16.5" customHeight="1" thickBot="1">
      <c r="B78" s="244" t="s">
        <v>46</v>
      </c>
      <c r="C78" s="244"/>
      <c r="D78" s="244"/>
      <c r="E78" s="244"/>
      <c r="F78" s="244" t="s">
        <v>47</v>
      </c>
      <c r="G78" s="244"/>
      <c r="H78" s="244"/>
      <c r="I78" s="1"/>
      <c r="J78" s="396" t="str">
        <f>IF(' '!L19=0,Y15,IF(' '!B19&lt;&gt;' '!L19,"es liegen nicht alle Ergebnisse vor",Y15))</f>
        <v>Gruppe B</v>
      </c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8"/>
      <c r="AG78" s="193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356"/>
      <c r="AS78" s="345" t="s">
        <v>19</v>
      </c>
      <c r="AT78" s="346"/>
      <c r="AU78" s="365"/>
      <c r="AV78" s="345" t="s">
        <v>20</v>
      </c>
      <c r="AW78" s="346"/>
      <c r="AX78" s="365"/>
      <c r="AY78" s="345" t="s">
        <v>21</v>
      </c>
      <c r="AZ78" s="346"/>
      <c r="BA78" s="365"/>
      <c r="BB78" s="345" t="s">
        <v>22</v>
      </c>
      <c r="BC78" s="346"/>
      <c r="BD78" s="365"/>
      <c r="BE78" s="346" t="s">
        <v>23</v>
      </c>
      <c r="BF78" s="346"/>
      <c r="BG78" s="346"/>
      <c r="BH78" s="346"/>
      <c r="BI78" s="346"/>
      <c r="BJ78" s="345" t="s">
        <v>24</v>
      </c>
      <c r="BK78" s="346"/>
      <c r="BL78" s="346"/>
      <c r="BM78" s="345" t="s">
        <v>25</v>
      </c>
      <c r="BN78" s="346"/>
      <c r="BO78" s="347"/>
      <c r="BP78" s="148"/>
      <c r="BQ78" s="60"/>
      <c r="BR78" s="77"/>
      <c r="BS78" s="77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145"/>
      <c r="DS78" s="145"/>
      <c r="DT78" s="145"/>
      <c r="DU78" s="52"/>
      <c r="DV78" s="52"/>
      <c r="DW78" s="52"/>
      <c r="DX78" s="60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</row>
    <row r="79" spans="2:151" s="144" customFormat="1" ht="16.5" customHeight="1">
      <c r="B79" s="175"/>
      <c r="C79" s="175"/>
      <c r="D79" s="175"/>
      <c r="E79" s="175"/>
      <c r="F79" s="175"/>
      <c r="G79" s="175"/>
      <c r="H79" s="175"/>
      <c r="I79" s="1"/>
      <c r="J79" s="245">
        <f>IF(' '!$L$19=0,"",1)</f>
      </c>
      <c r="K79" s="246"/>
      <c r="L79" s="321" t="str">
        <f>IF(' '!$L$19=0,Y16,VLOOKUP(' '!B15,' '!$C$15:$O$18,4,0))</f>
        <v>SV Rosellen 1</v>
      </c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187"/>
      <c r="AH79" s="187"/>
      <c r="AI79" s="188"/>
      <c r="AJ79" s="329">
        <f>IF(AND(L79&amp;$AJ$68=VLOOKUP(L79&amp;$AJ$68,' '!$C$44:$G$79,1,0),VLOOKUP(L79&amp;$AJ$68,' '!$C$44:$G$79,4,0)&lt;&gt;""),VLOOKUP(L79&amp;$AJ$68,' '!$C$44:$G$79,4,0),VLOOKUP(L79&amp;$AJ$68,' '!$C$44:$G$79,5,0))</f>
      </c>
      <c r="AK79" s="329"/>
      <c r="AL79" s="329"/>
      <c r="AM79" s="329">
        <f>IF(AND(L79&amp;$AM$68=VLOOKUP(L79&amp;$AM$68,' '!$C$44:$G$79,1,0),VLOOKUP(L79&amp;$AM$68,' '!$C$44:$G$79,4,0)&lt;&gt;""),VLOOKUP(L79&amp;$AM$68,' '!$C$44:$G$79,4,0),VLOOKUP(L79&amp;$AM$68,' '!$C$44:$G$79,5,0))</f>
      </c>
      <c r="AN79" s="329"/>
      <c r="AO79" s="329"/>
      <c r="AP79" s="327">
        <f>IF(AND(L79&amp;$AP$68=VLOOKUP(L79&amp;$AP$68,' '!$C$44:$G$67,1,0),VLOOKUP(L79&amp;$AP$68,' '!$C$44:$G$67,4,0)&lt;&gt;""),VLOOKUP(L79&amp;$AP$68,' '!$C$44:$G$67,4,0),VLOOKUP(L79&amp;$AP$68,' '!$C$44:$G$67,5,0))</f>
      </c>
      <c r="AQ79" s="328"/>
      <c r="AR79" s="328"/>
      <c r="AS79" s="332">
        <f>IF(' '!$L$19=0,"",VLOOKUP(' '!B15,' '!$C$15:$O$18,10,0))</f>
      </c>
      <c r="AT79" s="332"/>
      <c r="AU79" s="333"/>
      <c r="AV79" s="223">
        <f>IF(' '!$L$19=0,"",VLOOKUP(' '!B15,' '!$C$15:$O$18,11,0))</f>
      </c>
      <c r="AW79" s="224"/>
      <c r="AX79" s="225"/>
      <c r="AY79" s="223">
        <f>IF(' '!$L$19=0,"",VLOOKUP(' '!B15,' '!$C$15:$O$18,12,0))</f>
      </c>
      <c r="AZ79" s="224"/>
      <c r="BA79" s="225"/>
      <c r="BB79" s="223">
        <f>IF(' '!$L$19=0,"",VLOOKUP(' '!B15,' '!$C$15:$O$18,13,0))</f>
      </c>
      <c r="BC79" s="224"/>
      <c r="BD79" s="225"/>
      <c r="BE79" s="223">
        <f>IF(' '!$L$19=0,"",VLOOKUP(' '!B15,' '!$C$15:$O$18,5,0))</f>
      </c>
      <c r="BF79" s="224"/>
      <c r="BG79" s="42">
        <f>IF(' '!$L$19=0,"",":")</f>
      </c>
      <c r="BH79" s="224">
        <f>IF(' '!$L$19=0,"",VLOOKUP(' '!B15,' '!$C$15:$O$18,6,0))</f>
      </c>
      <c r="BI79" s="225"/>
      <c r="BJ79" s="229">
        <f>IF(' '!$L$19=0,"",BE79-BH79)</f>
      </c>
      <c r="BK79" s="230"/>
      <c r="BL79" s="230"/>
      <c r="BM79" s="223">
        <f>IF(' '!$L$19=0,"",VLOOKUP(' '!B15,' '!$C$15:$O$18,7,0))</f>
      </c>
      <c r="BN79" s="224"/>
      <c r="BO79" s="334"/>
      <c r="BP79" s="148"/>
      <c r="BQ79" s="60"/>
      <c r="BR79" s="77"/>
      <c r="BS79" s="77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145"/>
      <c r="DS79" s="145"/>
      <c r="DT79" s="145"/>
      <c r="DU79" s="52"/>
      <c r="DV79" s="52"/>
      <c r="DW79" s="52"/>
      <c r="DX79" s="60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</row>
    <row r="80" spans="2:151" s="144" customFormat="1" ht="16.5" customHeight="1">
      <c r="B80" s="175"/>
      <c r="C80" s="175"/>
      <c r="D80" s="175"/>
      <c r="E80" s="175"/>
      <c r="F80" s="175"/>
      <c r="G80" s="175"/>
      <c r="H80" s="175"/>
      <c r="I80" s="1"/>
      <c r="J80" s="245">
        <f>IF(' '!$L$19=0,"",IF(VLOOKUP(' '!B16,' '!$C$15:$E$18,3,0)=MAX(J$79:J79),"",' '!B16))</f>
      </c>
      <c r="K80" s="246"/>
      <c r="L80" s="183" t="str">
        <f>IF(' '!$L$19=0,Y17,VLOOKUP(' '!B16,' '!$C$15:$O$18,4,0))</f>
        <v>SV Nütterden</v>
      </c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5">
        <f>IF(AND(L80&amp;$AG$68=VLOOKUP(L80&amp;$AG$68,' '!$C$44:$G$79,1,0),VLOOKUP(L80&amp;$AG$68,' '!$C$44:$G$79,4,0)&lt;&gt;""),VLOOKUP(L80&amp;$AG$68,' '!$C$44:$G$79,4,0),VLOOKUP(L80&amp;$AG$68,' '!$C$44:$G$79,5,0))</f>
      </c>
      <c r="AH80" s="185"/>
      <c r="AI80" s="186"/>
      <c r="AJ80" s="393"/>
      <c r="AK80" s="393"/>
      <c r="AL80" s="393"/>
      <c r="AM80" s="323">
        <f>IF(AND(L80&amp;$AM$68=VLOOKUP(L80&amp;$AM$68,' '!$C$44:$G$79,1,0),VLOOKUP(L80&amp;$AM$68,' '!$C$44:$G$79,4,0)&lt;&gt;""),VLOOKUP(L80&amp;$AM$68,' '!$C$44:$G$79,4,0),VLOOKUP(L80&amp;$AM$68,' '!$C$44:$G$79,5,0))</f>
      </c>
      <c r="AN80" s="323"/>
      <c r="AO80" s="323"/>
      <c r="AP80" s="324">
        <f>IF(AND(L80&amp;$AP$68=VLOOKUP(L80&amp;$AP$68,' '!$C$44:$G$79,1,0),VLOOKUP(L80&amp;$AP$68,' '!$C$44:$G$79,4,0)&lt;&gt;""),VLOOKUP(L80&amp;$AP$68,' '!$C$44:$G$79,4,0),VLOOKUP(L80&amp;$AP$68,' '!$C$44:$G$79,5,0))</f>
      </c>
      <c r="AQ80" s="185"/>
      <c r="AR80" s="185"/>
      <c r="AS80" s="366">
        <f>IF(' '!$L$19=0,"",VLOOKUP(' '!B16,' '!$C$15:$O$18,10,0))</f>
      </c>
      <c r="AT80" s="366"/>
      <c r="AU80" s="367"/>
      <c r="AV80" s="223">
        <f>IF(' '!$L$19=0,"",VLOOKUP(' '!B16,' '!$C$15:$O$18,11,0))</f>
      </c>
      <c r="AW80" s="224"/>
      <c r="AX80" s="225"/>
      <c r="AY80" s="223">
        <f>IF(' '!$L$19=0,"",VLOOKUP(' '!B16,' '!$C$15:$O$18,12,0))</f>
      </c>
      <c r="AZ80" s="224"/>
      <c r="BA80" s="225"/>
      <c r="BB80" s="223">
        <f>IF(' '!$L$19=0,"",VLOOKUP(' '!B16,' '!$C$15:$O$18,13,0))</f>
      </c>
      <c r="BC80" s="224"/>
      <c r="BD80" s="225"/>
      <c r="BE80" s="223">
        <f>IF(' '!$L$19=0,"",VLOOKUP(' '!B16,' '!$C$15:$O$18,5,0))</f>
      </c>
      <c r="BF80" s="224"/>
      <c r="BG80" s="42">
        <f>IF(' '!$L$19=0,"",":")</f>
      </c>
      <c r="BH80" s="224">
        <f>IF(' '!$L$19=0,"",VLOOKUP(' '!B16,' '!$C$15:$O$18,6,0))</f>
      </c>
      <c r="BI80" s="225"/>
      <c r="BJ80" s="229">
        <f>IF(' '!$L$19=0,"",BE80-BH80)</f>
      </c>
      <c r="BK80" s="230"/>
      <c r="BL80" s="230"/>
      <c r="BM80" s="223">
        <f>IF(' '!$L$19=0,"",VLOOKUP(' '!B16,' '!$C$15:$O$18,7,0))</f>
      </c>
      <c r="BN80" s="224"/>
      <c r="BO80" s="334"/>
      <c r="BP80" s="148"/>
      <c r="BQ80" s="60"/>
      <c r="BR80" s="77"/>
      <c r="BS80" s="77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145"/>
      <c r="DS80" s="145"/>
      <c r="DT80" s="145"/>
      <c r="DU80" s="52"/>
      <c r="DV80" s="52"/>
      <c r="DW80" s="52"/>
      <c r="DX80" s="60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</row>
    <row r="81" spans="2:152" s="24" customFormat="1" ht="16.5" customHeight="1">
      <c r="B81" s="175"/>
      <c r="C81" s="175"/>
      <c r="D81" s="175"/>
      <c r="E81" s="175"/>
      <c r="F81" s="175"/>
      <c r="G81" s="175"/>
      <c r="H81" s="175"/>
      <c r="I81" s="1"/>
      <c r="J81" s="245">
        <f>IF(' '!$L$19=0,"",IF(VLOOKUP(' '!B17,' '!$C$15:$E$18,3,0)=MAX(J$79:J80),"",' '!B17))</f>
      </c>
      <c r="K81" s="311"/>
      <c r="L81" s="183" t="str">
        <f>IF(' '!$L$19=0,Y18,VLOOKUP(' '!B17,' '!$C$15:$O$18,4,0))</f>
        <v>1. FC Quadrath Ichendorf</v>
      </c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5">
        <f>IF(AND(L81&amp;$AG$68=VLOOKUP(L81&amp;$AG$68,' '!$C$44:$G$79,1,0),VLOOKUP(L81&amp;$AG$68,' '!$C$44:$G$79,4,0)&lt;&gt;""),VLOOKUP(L81&amp;$AG$68,' '!$C$44:$G$79,4,0),VLOOKUP(L81&amp;$AG$68,' '!$C$44:$G$79,5,0))</f>
      </c>
      <c r="AH81" s="185"/>
      <c r="AI81" s="186"/>
      <c r="AJ81" s="323">
        <f>IF(AND(L81&amp;$AJ$68=VLOOKUP(L81&amp;$AJ$68,' '!$C$44:$G$79,1,0),VLOOKUP(L81&amp;$AJ$68,' '!$C$44:$G$79,4,0)&lt;&gt;""),VLOOKUP(L81&amp;$AJ$68,' '!$C$44:$G$79,4,0),VLOOKUP(L81&amp;$AJ$68,' '!$C$44:$G$79,5,0))</f>
      </c>
      <c r="AK81" s="323"/>
      <c r="AL81" s="323"/>
      <c r="AM81" s="393"/>
      <c r="AN81" s="393"/>
      <c r="AO81" s="393"/>
      <c r="AP81" s="324">
        <f>IF(AND(L81&amp;$AP$68=VLOOKUP(L81&amp;$AP$68,' '!$C$44:$G$79,1,0),VLOOKUP(L81&amp;$AP$68,' '!$C$44:$G$79,4,0)&lt;&gt;""),VLOOKUP(L81&amp;$AP$68,' '!$C$44:$G$79,4,0),VLOOKUP(L81&amp;$AP$68,' '!$C$44:$G$79,5,0))</f>
      </c>
      <c r="AQ81" s="185"/>
      <c r="AR81" s="185"/>
      <c r="AS81" s="366">
        <f>IF(' '!$L$19=0,"",VLOOKUP(' '!B17,' '!$C$15:$O$18,10,0))</f>
      </c>
      <c r="AT81" s="366"/>
      <c r="AU81" s="367"/>
      <c r="AV81" s="343">
        <f>IF(' '!$L$19=0,"",VLOOKUP(' '!B17,' '!$C$15:$O$18,11,0))</f>
      </c>
      <c r="AW81" s="343"/>
      <c r="AX81" s="343"/>
      <c r="AY81" s="343">
        <f>IF(' '!$L$19=0,"",VLOOKUP(' '!B17,' '!$C$15:$O$18,12,0))</f>
      </c>
      <c r="AZ81" s="343"/>
      <c r="BA81" s="343"/>
      <c r="BB81" s="343">
        <f>IF(' '!$L$19=0,"",VLOOKUP(' '!B17,' '!$C$15:$O$18,13,0))</f>
      </c>
      <c r="BC81" s="343"/>
      <c r="BD81" s="343"/>
      <c r="BE81" s="224">
        <f>IF(' '!$L$19=0,"",VLOOKUP(' '!B17,' '!$C$15:$O$18,5,0))</f>
      </c>
      <c r="BF81" s="224"/>
      <c r="BG81" s="42">
        <f>IF(' '!$L$19=0,"",":")</f>
      </c>
      <c r="BH81" s="224">
        <f>IF(' '!$L$19=0,"",VLOOKUP(' '!B17,' '!$C$15:$O$18,6,0))</f>
      </c>
      <c r="BI81" s="224"/>
      <c r="BJ81" s="349">
        <f>IF(' '!$L$19=0,"",BE81-BH81)</f>
      </c>
      <c r="BK81" s="349"/>
      <c r="BL81" s="229"/>
      <c r="BM81" s="343">
        <f>IF(' '!$L$19=0,"",VLOOKUP(' '!B17,' '!$C$15:$O$18,7,0))</f>
      </c>
      <c r="BN81" s="343"/>
      <c r="BO81" s="344"/>
      <c r="BP81" s="2"/>
      <c r="BQ81" s="3"/>
      <c r="DX81" s="47"/>
      <c r="DY81" s="1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</row>
    <row r="82" spans="2:154" s="24" customFormat="1" ht="16.5" customHeight="1" thickBot="1">
      <c r="B82" s="175"/>
      <c r="C82" s="175"/>
      <c r="D82" s="175"/>
      <c r="E82" s="175"/>
      <c r="F82" s="175"/>
      <c r="G82" s="175"/>
      <c r="H82" s="175"/>
      <c r="I82" s="1"/>
      <c r="J82" s="179">
        <f>IF(' '!$L$19=0,"",IF(VLOOKUP(' '!B18,' '!$C$15:$E$18,3,0)=MAX(J$79:J81),"",' '!B18))</f>
      </c>
      <c r="K82" s="180"/>
      <c r="L82" s="181" t="str">
        <f>IF(' '!$L$19=0,Y19,VLOOKUP(' '!B18,' '!$C$15:$O$18,4,0))</f>
        <v>SC Blau-Weiß 06 Köln</v>
      </c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330">
        <f>IF(AND(L82&amp;$AG$68=VLOOKUP(L82&amp;$AG$68,' '!$C$44:$G$79,1,0),VLOOKUP(L82&amp;$AG$68,' '!$C$44:$G$79,4,0)&lt;&gt;""),VLOOKUP(L82&amp;$AG$68,' '!$C$44:$G$79,4,0),VLOOKUP(L82&amp;$AG$68,' '!$C$44:$G$79,5,0))</f>
      </c>
      <c r="AH82" s="330"/>
      <c r="AI82" s="331"/>
      <c r="AJ82" s="348">
        <f>IF(AND(L82&amp;$AJ$68=VLOOKUP(L82&amp;$AJ$68,' '!$C$44:$G$79,1,0),VLOOKUP(L82&amp;$AJ$68,' '!$C$44:$G$79,4,0)&lt;&gt;""),VLOOKUP(L82&amp;$AJ$68,' '!$C$44:$G$79,4,0),VLOOKUP(L82&amp;$AJ$68,' '!$C$44:$G$79,5,0))</f>
      </c>
      <c r="AK82" s="348"/>
      <c r="AL82" s="348"/>
      <c r="AM82" s="348">
        <f>IF(AND(L82&amp;$AM$68=VLOOKUP(L82&amp;$AM$68,' '!$C$44:$G$79,1,0),VLOOKUP(L82&amp;$AM$68,' '!$C$44:$G$79,4,0)&lt;&gt;""),VLOOKUP(L82&amp;$AM$68,' '!$C$44:$G$79,4,0),VLOOKUP(L82&amp;$AM$68,' '!$C$44:$G$79,5,0))</f>
      </c>
      <c r="AN82" s="348"/>
      <c r="AO82" s="348"/>
      <c r="AP82" s="379"/>
      <c r="AQ82" s="380"/>
      <c r="AR82" s="380"/>
      <c r="AS82" s="368">
        <f>IF(' '!$L$19=0,"",VLOOKUP(' '!B18,' '!$C$15:$O$18,10,0))</f>
      </c>
      <c r="AT82" s="368"/>
      <c r="AU82" s="369"/>
      <c r="AV82" s="350">
        <f>IF(' '!$L$19=0,"",VLOOKUP(' '!B18,' '!$C$15:$O$18,11,0))</f>
      </c>
      <c r="AW82" s="350"/>
      <c r="AX82" s="350"/>
      <c r="AY82" s="350">
        <f>IF(' '!$L$19=0,"",VLOOKUP(' '!B18,' '!$C$15:$O$18,12,0))</f>
      </c>
      <c r="AZ82" s="350"/>
      <c r="BA82" s="350"/>
      <c r="BB82" s="350">
        <f>IF(' '!$L$19=0,"",VLOOKUP(' '!B18,' '!$C$15:$O$18,13,0))</f>
      </c>
      <c r="BC82" s="350"/>
      <c r="BD82" s="350"/>
      <c r="BE82" s="227">
        <f>IF(' '!$L$19=0,"",VLOOKUP(' '!B18,' '!$C$15:$O$18,5,0))</f>
      </c>
      <c r="BF82" s="227"/>
      <c r="BG82" s="43">
        <f>IF(' '!$L$19=0,"",":")</f>
      </c>
      <c r="BH82" s="227">
        <f>IF(' '!$L$19=0,"",VLOOKUP(' '!B18,' '!$C$15:$O$18,6,0))</f>
      </c>
      <c r="BI82" s="227"/>
      <c r="BJ82" s="352">
        <f>IF(' '!$L$19=0,"",BE82-BH82)</f>
      </c>
      <c r="BK82" s="352"/>
      <c r="BL82" s="353"/>
      <c r="BM82" s="350">
        <f>IF(' '!$L$19=0,"",VLOOKUP(' '!B18,' '!$C$15:$O$18,7,0))</f>
      </c>
      <c r="BN82" s="350"/>
      <c r="BO82" s="351"/>
      <c r="BP82" s="2"/>
      <c r="BQ82" s="1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</row>
    <row r="83" spans="66:154" s="24" customFormat="1" ht="16.5" customHeight="1" thickBot="1">
      <c r="BN83" s="1"/>
      <c r="BO83" s="2"/>
      <c r="BP83" s="2"/>
      <c r="BQ83" s="1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</row>
    <row r="84" spans="2:154" s="24" customFormat="1" ht="16.5" customHeight="1">
      <c r="B84" s="2"/>
      <c r="C84" s="1"/>
      <c r="D84" s="77"/>
      <c r="E84" s="77"/>
      <c r="F84" s="78"/>
      <c r="G84" s="78"/>
      <c r="H84" s="78"/>
      <c r="I84" s="78"/>
      <c r="J84" s="54"/>
      <c r="K84" s="5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384" t="str">
        <f>L95</f>
        <v>SV Rosellen 2</v>
      </c>
      <c r="AH84" s="371"/>
      <c r="AI84" s="372"/>
      <c r="AJ84" s="370" t="str">
        <f>L96</f>
        <v>SG Orken-Noithausen</v>
      </c>
      <c r="AK84" s="371"/>
      <c r="AL84" s="372"/>
      <c r="AM84" s="370" t="str">
        <f>L97</f>
        <v>SSV Strümp</v>
      </c>
      <c r="AN84" s="371"/>
      <c r="AO84" s="372"/>
      <c r="AP84" s="370" t="str">
        <f>L98</f>
        <v>DJK Hoisten</v>
      </c>
      <c r="AQ84" s="371"/>
      <c r="AR84" s="448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57"/>
      <c r="BK84" s="57"/>
      <c r="BL84" s="57"/>
      <c r="BM84" s="47"/>
      <c r="BN84" s="47"/>
      <c r="BO84" s="47"/>
      <c r="BP84" s="59"/>
      <c r="BQ84" s="1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26"/>
      <c r="EX84" s="26"/>
    </row>
    <row r="85" spans="2:154" s="24" customFormat="1" ht="16.5" customHeight="1">
      <c r="B85" s="2"/>
      <c r="C85" s="1"/>
      <c r="D85" s="77"/>
      <c r="E85" s="77"/>
      <c r="F85" s="78"/>
      <c r="G85" s="78"/>
      <c r="H85" s="78"/>
      <c r="I85" s="78"/>
      <c r="J85" s="5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385"/>
      <c r="AH85" s="374"/>
      <c r="AI85" s="375"/>
      <c r="AJ85" s="373"/>
      <c r="AK85" s="374"/>
      <c r="AL85" s="375"/>
      <c r="AM85" s="373"/>
      <c r="AN85" s="374"/>
      <c r="AO85" s="375"/>
      <c r="AP85" s="373"/>
      <c r="AQ85" s="374"/>
      <c r="AR85" s="449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57"/>
      <c r="BK85" s="57"/>
      <c r="BL85" s="57"/>
      <c r="BM85" s="47"/>
      <c r="BN85" s="47"/>
      <c r="BO85" s="47"/>
      <c r="BP85" s="59"/>
      <c r="BQ85" s="1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26"/>
      <c r="EX85" s="26"/>
    </row>
    <row r="86" spans="2:154" s="24" customFormat="1" ht="16.5" customHeight="1">
      <c r="B86" s="2"/>
      <c r="C86" s="1"/>
      <c r="D86" s="77"/>
      <c r="E86" s="77"/>
      <c r="F86" s="78"/>
      <c r="G86" s="78"/>
      <c r="H86" s="78"/>
      <c r="I86" s="78"/>
      <c r="J86" s="5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385"/>
      <c r="AH86" s="374"/>
      <c r="AI86" s="375"/>
      <c r="AJ86" s="373"/>
      <c r="AK86" s="374"/>
      <c r="AL86" s="375"/>
      <c r="AM86" s="373"/>
      <c r="AN86" s="374"/>
      <c r="AO86" s="375"/>
      <c r="AP86" s="373"/>
      <c r="AQ86" s="374"/>
      <c r="AR86" s="449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57"/>
      <c r="BK86" s="57"/>
      <c r="BL86" s="57"/>
      <c r="BM86" s="47"/>
      <c r="BN86" s="47"/>
      <c r="BO86" s="47"/>
      <c r="BP86" s="59"/>
      <c r="BQ86" s="1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26"/>
      <c r="EX86" s="26"/>
    </row>
    <row r="87" spans="2:154" s="24" customFormat="1" ht="16.5" customHeight="1">
      <c r="B87" s="2"/>
      <c r="C87" s="1"/>
      <c r="D87" s="77"/>
      <c r="E87" s="77"/>
      <c r="F87" s="78"/>
      <c r="G87" s="78"/>
      <c r="H87" s="78"/>
      <c r="I87" s="78"/>
      <c r="J87" s="54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385"/>
      <c r="AH87" s="374"/>
      <c r="AI87" s="375"/>
      <c r="AJ87" s="373"/>
      <c r="AK87" s="374"/>
      <c r="AL87" s="375"/>
      <c r="AM87" s="373"/>
      <c r="AN87" s="374"/>
      <c r="AO87" s="375"/>
      <c r="AP87" s="373"/>
      <c r="AQ87" s="374"/>
      <c r="AR87" s="449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57"/>
      <c r="BK87" s="57"/>
      <c r="BL87" s="57"/>
      <c r="BM87" s="47"/>
      <c r="BN87" s="47"/>
      <c r="BO87" s="47"/>
      <c r="BP87" s="59"/>
      <c r="BQ87" s="1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26"/>
      <c r="EX87" s="26"/>
    </row>
    <row r="88" spans="1:154" s="1" customFormat="1" ht="16.5" customHeight="1">
      <c r="A88" s="24"/>
      <c r="B88" s="2"/>
      <c r="D88" s="77"/>
      <c r="E88" s="77"/>
      <c r="F88" s="78"/>
      <c r="G88" s="78"/>
      <c r="H88" s="78"/>
      <c r="I88" s="78"/>
      <c r="J88" s="54"/>
      <c r="K88" s="54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385"/>
      <c r="AH88" s="374"/>
      <c r="AI88" s="375"/>
      <c r="AJ88" s="373"/>
      <c r="AK88" s="374"/>
      <c r="AL88" s="375"/>
      <c r="AM88" s="373"/>
      <c r="AN88" s="374"/>
      <c r="AO88" s="375"/>
      <c r="AP88" s="373"/>
      <c r="AQ88" s="374"/>
      <c r="AR88" s="449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57"/>
      <c r="BK88" s="57"/>
      <c r="BL88" s="57"/>
      <c r="BM88" s="47"/>
      <c r="BN88" s="47"/>
      <c r="BO88" s="47"/>
      <c r="BP88" s="59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4"/>
      <c r="EX88" s="4"/>
    </row>
    <row r="89" spans="1:166" s="41" customFormat="1" ht="16.5" customHeight="1">
      <c r="A89" s="24"/>
      <c r="B89" s="2"/>
      <c r="C89" s="1"/>
      <c r="D89" s="77"/>
      <c r="E89" s="77"/>
      <c r="F89" s="78"/>
      <c r="G89" s="78"/>
      <c r="H89" s="78"/>
      <c r="I89" s="78"/>
      <c r="J89" s="54"/>
      <c r="K89" s="54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385"/>
      <c r="AH89" s="374"/>
      <c r="AI89" s="375"/>
      <c r="AJ89" s="373"/>
      <c r="AK89" s="374"/>
      <c r="AL89" s="375"/>
      <c r="AM89" s="373"/>
      <c r="AN89" s="374"/>
      <c r="AO89" s="375"/>
      <c r="AP89" s="373"/>
      <c r="AQ89" s="374"/>
      <c r="AR89" s="449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57"/>
      <c r="BK89" s="57"/>
      <c r="BL89" s="57"/>
      <c r="BM89" s="47"/>
      <c r="BN89" s="47"/>
      <c r="BO89" s="47"/>
      <c r="BP89" s="59"/>
      <c r="BQ89" s="1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</row>
    <row r="90" spans="1:166" s="1" customFormat="1" ht="16.5" customHeight="1">
      <c r="A90" s="24"/>
      <c r="B90" s="2"/>
      <c r="D90" s="77"/>
      <c r="E90" s="77"/>
      <c r="F90" s="78"/>
      <c r="G90" s="78"/>
      <c r="H90" s="78"/>
      <c r="I90" s="78"/>
      <c r="J90" s="54"/>
      <c r="K90" s="54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385"/>
      <c r="AH90" s="374"/>
      <c r="AI90" s="375"/>
      <c r="AJ90" s="373"/>
      <c r="AK90" s="374"/>
      <c r="AL90" s="375"/>
      <c r="AM90" s="373"/>
      <c r="AN90" s="374"/>
      <c r="AO90" s="375"/>
      <c r="AP90" s="373"/>
      <c r="AQ90" s="374"/>
      <c r="AR90" s="449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57"/>
      <c r="BK90" s="57"/>
      <c r="BL90" s="57"/>
      <c r="BM90" s="47"/>
      <c r="BN90" s="47"/>
      <c r="BO90" s="47"/>
      <c r="BP90" s="59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s="1" customFormat="1" ht="16.5" customHeight="1">
      <c r="A91" s="24"/>
      <c r="B91" s="2"/>
      <c r="D91" s="77"/>
      <c r="E91" s="77"/>
      <c r="F91" s="78"/>
      <c r="G91" s="78"/>
      <c r="H91" s="78"/>
      <c r="I91" s="78"/>
      <c r="J91" s="54"/>
      <c r="K91" s="54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385"/>
      <c r="AH91" s="374"/>
      <c r="AI91" s="375"/>
      <c r="AJ91" s="373"/>
      <c r="AK91" s="374"/>
      <c r="AL91" s="375"/>
      <c r="AM91" s="373"/>
      <c r="AN91" s="374"/>
      <c r="AO91" s="375"/>
      <c r="AP91" s="373"/>
      <c r="AQ91" s="374"/>
      <c r="AR91" s="449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57"/>
      <c r="BK91" s="57"/>
      <c r="BL91" s="57"/>
      <c r="BM91" s="47"/>
      <c r="BN91" s="47"/>
      <c r="BO91" s="47"/>
      <c r="BP91" s="59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s="1" customFormat="1" ht="16.5" customHeight="1">
      <c r="A92" s="24"/>
      <c r="B92" s="2"/>
      <c r="D92" s="77"/>
      <c r="E92" s="77"/>
      <c r="F92" s="78"/>
      <c r="G92" s="78"/>
      <c r="H92" s="78"/>
      <c r="I92" s="78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385"/>
      <c r="AH92" s="374"/>
      <c r="AI92" s="375"/>
      <c r="AJ92" s="373"/>
      <c r="AK92" s="374"/>
      <c r="AL92" s="375"/>
      <c r="AM92" s="373"/>
      <c r="AN92" s="374"/>
      <c r="AO92" s="375"/>
      <c r="AP92" s="373"/>
      <c r="AQ92" s="374"/>
      <c r="AR92" s="449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7"/>
      <c r="BH92" s="46"/>
      <c r="BI92" s="46"/>
      <c r="BJ92" s="48"/>
      <c r="BK92" s="48"/>
      <c r="BL92" s="48"/>
      <c r="BM92" s="46"/>
      <c r="BN92" s="46"/>
      <c r="BO92" s="46"/>
      <c r="BP92" s="59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s="1" customFormat="1" ht="16.5" customHeight="1" thickBot="1">
      <c r="A93" s="24"/>
      <c r="B93" s="176" t="s">
        <v>45</v>
      </c>
      <c r="C93" s="176"/>
      <c r="D93" s="176"/>
      <c r="E93" s="176"/>
      <c r="F93" s="176"/>
      <c r="G93" s="176"/>
      <c r="H93" s="176"/>
      <c r="I93" s="78"/>
      <c r="J93" s="44"/>
      <c r="K93" s="44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385"/>
      <c r="AH93" s="374"/>
      <c r="AI93" s="375"/>
      <c r="AJ93" s="373"/>
      <c r="AK93" s="374"/>
      <c r="AL93" s="375"/>
      <c r="AM93" s="373"/>
      <c r="AN93" s="374"/>
      <c r="AO93" s="375"/>
      <c r="AP93" s="373"/>
      <c r="AQ93" s="374"/>
      <c r="AR93" s="449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7"/>
      <c r="BH93" s="46"/>
      <c r="BI93" s="46"/>
      <c r="BJ93" s="48"/>
      <c r="BK93" s="48"/>
      <c r="BL93" s="48"/>
      <c r="BM93" s="46"/>
      <c r="BN93" s="46"/>
      <c r="BO93" s="46"/>
      <c r="BP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2:166" s="1" customFormat="1" ht="16.5" customHeight="1" thickBot="1">
      <c r="B94" s="244" t="s">
        <v>46</v>
      </c>
      <c r="C94" s="244"/>
      <c r="D94" s="244"/>
      <c r="E94" s="244"/>
      <c r="F94" s="244" t="s">
        <v>47</v>
      </c>
      <c r="G94" s="244"/>
      <c r="H94" s="244"/>
      <c r="I94" s="78"/>
      <c r="J94" s="399" t="str">
        <f>IF(' '!L29=0,M21,IF(' '!B29&lt;&gt;' '!L29,"es liegen nicht alle Ergebnisse vor",M21))</f>
        <v>Gruppe C</v>
      </c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1"/>
      <c r="AG94" s="386"/>
      <c r="AH94" s="377"/>
      <c r="AI94" s="378"/>
      <c r="AJ94" s="376"/>
      <c r="AK94" s="377"/>
      <c r="AL94" s="378"/>
      <c r="AM94" s="376"/>
      <c r="AN94" s="377"/>
      <c r="AO94" s="378"/>
      <c r="AP94" s="376"/>
      <c r="AQ94" s="377"/>
      <c r="AR94" s="450"/>
      <c r="AS94" s="387" t="s">
        <v>19</v>
      </c>
      <c r="AT94" s="388"/>
      <c r="AU94" s="389"/>
      <c r="AV94" s="387" t="s">
        <v>20</v>
      </c>
      <c r="AW94" s="388"/>
      <c r="AX94" s="389"/>
      <c r="AY94" s="387" t="s">
        <v>21</v>
      </c>
      <c r="AZ94" s="388"/>
      <c r="BA94" s="389"/>
      <c r="BB94" s="387" t="s">
        <v>22</v>
      </c>
      <c r="BC94" s="388"/>
      <c r="BD94" s="389"/>
      <c r="BE94" s="387" t="s">
        <v>23</v>
      </c>
      <c r="BF94" s="388"/>
      <c r="BG94" s="388"/>
      <c r="BH94" s="388"/>
      <c r="BI94" s="389"/>
      <c r="BJ94" s="387" t="s">
        <v>24</v>
      </c>
      <c r="BK94" s="388"/>
      <c r="BL94" s="388"/>
      <c r="BM94" s="387" t="s">
        <v>25</v>
      </c>
      <c r="BN94" s="388"/>
      <c r="BO94" s="406"/>
      <c r="BP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</row>
    <row r="95" spans="1:166" s="1" customFormat="1" ht="16.5" customHeight="1">
      <c r="A95" s="41"/>
      <c r="B95" s="175"/>
      <c r="C95" s="175"/>
      <c r="D95" s="175"/>
      <c r="E95" s="175"/>
      <c r="F95" s="175"/>
      <c r="G95" s="175"/>
      <c r="H95" s="175"/>
      <c r="I95" s="78"/>
      <c r="J95" s="245">
        <f>IF(' '!$L$29=0,"",1)</f>
      </c>
      <c r="K95" s="246"/>
      <c r="L95" s="321" t="str">
        <f>IF(' '!$L$29=0,M22,VLOOKUP(' '!B25,' '!$C$25:$O$28,4,0))</f>
        <v>SV Rosellen 2</v>
      </c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187"/>
      <c r="AH95" s="187"/>
      <c r="AI95" s="188"/>
      <c r="AJ95" s="381">
        <f>IF(AND(L95&amp;$AJ$84=VLOOKUP(L95&amp;$AJ$84,' '!$C$44:$G$79,1,0),VLOOKUP(L95&amp;$AJ$84,' '!$C$44:$G$79,4,0)&lt;&gt;""),VLOOKUP(L95&amp;$AJ$84,' '!$C$44:$G$79,4,0),VLOOKUP(L95&amp;$AJ$84,' '!$C$44:$G$79,5,0))</f>
      </c>
      <c r="AK95" s="382"/>
      <c r="AL95" s="383"/>
      <c r="AM95" s="381">
        <f>IF(AND(L95&amp;$AM$84=VLOOKUP(L95&amp;$AM$84,' '!$C$44:$G$79,1,0),VLOOKUP(L95&amp;$AM$84,' '!$C$44:$G$79,4,0)&lt;&gt;""),VLOOKUP(L95&amp;$AM$84,' '!$C$44:$G$79,4,0),VLOOKUP(L95&amp;$AM$84,' '!$C$44:$G$79,5,0))</f>
      </c>
      <c r="AN95" s="382"/>
      <c r="AO95" s="383"/>
      <c r="AP95" s="327">
        <f>IF(AND(L95&amp;$AP$84=VLOOKUP(L95&amp;$AP$84,' '!$C$44:$G$79,1,0),VLOOKUP(L95&amp;$AP$84,' '!$C$44:$G$79,4,0)&lt;&gt;""),VLOOKUP(L95&amp;$AP$84,' '!$C$44:$G$79,4,0),VLOOKUP(L95&amp;$AP$84,' '!$C$44:$G$79,5,0))</f>
      </c>
      <c r="AQ95" s="328"/>
      <c r="AR95" s="328"/>
      <c r="AS95" s="332">
        <f>IF(' '!$L$29=0,"",VLOOKUP(' '!B25,' '!$C$25:$O$28,10,0))</f>
      </c>
      <c r="AT95" s="332"/>
      <c r="AU95" s="333"/>
      <c r="AV95" s="223">
        <f>IF(' '!$L$29=0,"",VLOOKUP(' '!B25,' '!$C$25:$O$28,11,0))</f>
      </c>
      <c r="AW95" s="224"/>
      <c r="AX95" s="225"/>
      <c r="AY95" s="223">
        <f>IF(' '!$L$29=0,"",VLOOKUP(' '!B25,' '!$C$25:$O$28,12,0))</f>
      </c>
      <c r="AZ95" s="224"/>
      <c r="BA95" s="225"/>
      <c r="BB95" s="223">
        <f>IF(' '!$L$29=0,"",VLOOKUP(' '!B25,' '!$C$25:$O$28,13,0))</f>
      </c>
      <c r="BC95" s="224"/>
      <c r="BD95" s="225"/>
      <c r="BE95" s="223">
        <f>IF(' '!$L$29=0,"",VLOOKUP(' '!B25,' '!$C$25:$O$28,5,0))</f>
      </c>
      <c r="BF95" s="224"/>
      <c r="BG95" s="42">
        <f>IF(' '!$L$29=0,"",":")</f>
      </c>
      <c r="BH95" s="224">
        <f>IF(' '!$L$29=0,"",VLOOKUP(' '!B25,' '!$C$25:$O$28,6,0))</f>
      </c>
      <c r="BI95" s="225"/>
      <c r="BJ95" s="229">
        <f>IF(' '!$L$29=0,"",BE95-BH95)</f>
      </c>
      <c r="BK95" s="230"/>
      <c r="BL95" s="230"/>
      <c r="BM95" s="223">
        <f>IF(' '!$L$29=0,"",VLOOKUP(' '!B25,' '!$C$25:$O$28,7,0))</f>
      </c>
      <c r="BN95" s="224"/>
      <c r="BO95" s="334"/>
      <c r="BP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</row>
    <row r="96" spans="2:166" s="1" customFormat="1" ht="16.5" customHeight="1">
      <c r="B96" s="175"/>
      <c r="C96" s="175"/>
      <c r="D96" s="175"/>
      <c r="E96" s="175"/>
      <c r="F96" s="175"/>
      <c r="G96" s="175"/>
      <c r="H96" s="175"/>
      <c r="I96" s="78"/>
      <c r="J96" s="245">
        <f>IF(' '!$L$29=0,"",IF(VLOOKUP(' '!B26,' '!$C$25:$E$28,3,0)=MAX(J$95:J95),"",' '!B26))</f>
      </c>
      <c r="K96" s="246"/>
      <c r="L96" s="183" t="str">
        <f>IF(' '!$L$29=0,M23,VLOOKUP(' '!B26,' '!$C$25:$O$28,4,0))</f>
        <v>SG Orken-Noithausen</v>
      </c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5">
        <f>IF(AND(L96&amp;$AG$84=VLOOKUP(L96&amp;$AG$84,' '!$C$44:$G$79,1,0),VLOOKUP(L96&amp;$AG$84,' '!$C$44:$G$79,4,0)&lt;&gt;""),VLOOKUP(L96&amp;$AG$84,' '!$C$44:$G$79,4,0),VLOOKUP(L96&amp;$AG$84,' '!$C$44:$G$79,5,0))</f>
      </c>
      <c r="AH96" s="185"/>
      <c r="AI96" s="186"/>
      <c r="AJ96" s="411"/>
      <c r="AK96" s="412"/>
      <c r="AL96" s="413"/>
      <c r="AM96" s="415">
        <f>IF(AND(L96&amp;$AM$84=VLOOKUP(L96&amp;$AM$84,' '!$C$44:$G$79,1,0),VLOOKUP(L96&amp;$AM$84,' '!$C$44:$G$79,4,0)&lt;&gt;""),VLOOKUP(L96&amp;$AM$84,' '!$C$44:$G$79,4,0),VLOOKUP(L96&amp;$AM$84,' '!$C$44:$G$79,5,0))</f>
      </c>
      <c r="AN96" s="416"/>
      <c r="AO96" s="417"/>
      <c r="AP96" s="324">
        <f>IF(AND(L96&amp;$AP$84=VLOOKUP(L96&amp;$AP$84,' '!$C$44:$G$79,1,0),VLOOKUP(L96&amp;$AP$84,' '!$C$44:$G$79,4,0)&lt;&gt;""),VLOOKUP(L96&amp;$AP$84,' '!$C$44:$G$79,4,0),VLOOKUP(L96&amp;$AP$84,' '!$C$44:$G$79,5,0))</f>
      </c>
      <c r="AQ96" s="185"/>
      <c r="AR96" s="185"/>
      <c r="AS96" s="366">
        <f>IF(' '!$L$29=0,"",VLOOKUP(' '!B26,' '!$C$25:$O$28,10,0))</f>
      </c>
      <c r="AT96" s="366"/>
      <c r="AU96" s="367"/>
      <c r="AV96" s="223">
        <f>IF(' '!$L$29=0,"",VLOOKUP(' '!B26,' '!$C$25:$O$28,11,0))</f>
      </c>
      <c r="AW96" s="224"/>
      <c r="AX96" s="225"/>
      <c r="AY96" s="223">
        <f>IF(' '!$L$29=0,"",VLOOKUP(' '!B26,' '!$C$25:$O$28,12,0))</f>
      </c>
      <c r="AZ96" s="224"/>
      <c r="BA96" s="225"/>
      <c r="BB96" s="223">
        <f>IF(' '!$L$29=0,"",VLOOKUP(' '!B26,' '!$C$25:$O$28,13,0))</f>
      </c>
      <c r="BC96" s="224"/>
      <c r="BD96" s="225"/>
      <c r="BE96" s="223">
        <f>IF(' '!$L$29=0,"",VLOOKUP(' '!B26,' '!$C$25:$O$28,5,0))</f>
      </c>
      <c r="BF96" s="224"/>
      <c r="BG96" s="42">
        <f>IF(' '!$L$29=0,"",":")</f>
      </c>
      <c r="BH96" s="224">
        <f>IF(' '!$L$29=0,"",VLOOKUP(' '!B26,' '!$C$25:$O$28,6,0))</f>
      </c>
      <c r="BI96" s="225"/>
      <c r="BJ96" s="229">
        <f>IF(' '!$L$29=0,"",BE96-BH96)</f>
      </c>
      <c r="BK96" s="230"/>
      <c r="BL96" s="230"/>
      <c r="BM96" s="223">
        <f>IF(' '!$L$29=0,"",VLOOKUP(' '!B26,' '!$C$25:$O$28,7,0))</f>
      </c>
      <c r="BN96" s="224"/>
      <c r="BO96" s="334"/>
      <c r="BP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</row>
    <row r="97" spans="2:166" s="1" customFormat="1" ht="16.5" customHeight="1">
      <c r="B97" s="175"/>
      <c r="C97" s="175"/>
      <c r="D97" s="175"/>
      <c r="E97" s="175"/>
      <c r="F97" s="175"/>
      <c r="G97" s="175"/>
      <c r="H97" s="175"/>
      <c r="I97" s="78"/>
      <c r="J97" s="245">
        <f>IF(' '!$L$29=0,"",IF(VLOOKUP(' '!B27,' '!$C$25:$E$28,3,0)=MAX(J$95:J96),"",' '!B27))</f>
      </c>
      <c r="K97" s="246"/>
      <c r="L97" s="183" t="str">
        <f>IF(' '!$L$29=0,M24,VLOOKUP(' '!B27,' '!$C$25:$O$28,4,0))</f>
        <v>SSV Strümp</v>
      </c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5">
        <f>IF(AND(L97&amp;$AG$84=VLOOKUP(L97&amp;$AG$84,' '!$C$44:$G$79,1,0),VLOOKUP(L97&amp;$AG$84,' '!$C$44:$G$79,4,0)&lt;&gt;""),VLOOKUP(L97&amp;$AG$84,' '!$C$44:$G$79,4,0),VLOOKUP(L97&amp;$AG$84,' '!$C$44:$G$79,5,0))</f>
      </c>
      <c r="AH97" s="185"/>
      <c r="AI97" s="186"/>
      <c r="AJ97" s="415">
        <f>IF(AND(L97&amp;$AJ$84=VLOOKUP(L97&amp;$AJ$84,' '!$C$44:$G$79,1,0),VLOOKUP(L97&amp;$AJ$84,' '!$C$44:$G$79,4,0)&lt;&gt;""),VLOOKUP(L97&amp;$AJ$84,' '!$C$44:$G$79,4,0),VLOOKUP(L97&amp;$AJ$84,' '!$C$44:$G$79,5,0))</f>
      </c>
      <c r="AK97" s="416"/>
      <c r="AL97" s="417"/>
      <c r="AM97" s="411"/>
      <c r="AN97" s="412"/>
      <c r="AO97" s="413"/>
      <c r="AP97" s="324">
        <f>IF(AND(L97&amp;$AP$84=VLOOKUP(L97&amp;$AP$84,' '!$C$44:$G$79,1,0),VLOOKUP(L97&amp;$AP$84,' '!$C$44:$G$79,4,0)&lt;&gt;""),VLOOKUP(L97&amp;$AP$84,' '!$C$44:$G$79,4,0),VLOOKUP(L97&amp;$AP$84,' '!$C$44:$G$79,5,0))</f>
      </c>
      <c r="AQ97" s="185"/>
      <c r="AR97" s="185"/>
      <c r="AS97" s="366">
        <f>IF(' '!$L$29=0,"",VLOOKUP(' '!B27,' '!$C$25:$O$28,10,0))</f>
      </c>
      <c r="AT97" s="366"/>
      <c r="AU97" s="367"/>
      <c r="AV97" s="223">
        <f>IF(' '!$L$29=0,"",VLOOKUP(' '!B27,' '!$C$25:$O$28,11,0))</f>
      </c>
      <c r="AW97" s="224"/>
      <c r="AX97" s="225"/>
      <c r="AY97" s="223">
        <f>IF(' '!$L$29=0,"",VLOOKUP(' '!B27,' '!$C$25:$O$28,12,0))</f>
      </c>
      <c r="AZ97" s="224"/>
      <c r="BA97" s="225"/>
      <c r="BB97" s="223">
        <f>IF(' '!$L$29=0,"",VLOOKUP(' '!B27,' '!$C$25:$O$28,13,0))</f>
      </c>
      <c r="BC97" s="224"/>
      <c r="BD97" s="225"/>
      <c r="BE97" s="223">
        <f>IF(' '!$L$29=0,"",VLOOKUP(' '!B27,' '!$C$25:$O$28,5,0))</f>
      </c>
      <c r="BF97" s="224"/>
      <c r="BG97" s="42">
        <f>IF(' '!$L$29=0,"",":")</f>
      </c>
      <c r="BH97" s="224">
        <f>IF(' '!$L$29=0,"",VLOOKUP(' '!B27,' '!$C$25:$O$28,6,0))</f>
      </c>
      <c r="BI97" s="225"/>
      <c r="BJ97" s="229">
        <f>IF(' '!$L$29=0,"",BE97-BH97)</f>
      </c>
      <c r="BK97" s="230"/>
      <c r="BL97" s="230"/>
      <c r="BM97" s="223">
        <f>IF(' '!$L$29=0,"",VLOOKUP(' '!B27,' '!$C$25:$O$28,7,0))</f>
      </c>
      <c r="BN97" s="224"/>
      <c r="BO97" s="334"/>
      <c r="BP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</row>
    <row r="98" spans="2:166" s="1" customFormat="1" ht="16.5" customHeight="1" thickBot="1">
      <c r="B98" s="175"/>
      <c r="C98" s="175"/>
      <c r="D98" s="175"/>
      <c r="E98" s="175"/>
      <c r="F98" s="175"/>
      <c r="G98" s="175"/>
      <c r="H98" s="175"/>
      <c r="I98" s="78"/>
      <c r="J98" s="179">
        <f>IF(' '!$L$29=0,"",IF(VLOOKUP(' '!B28,' '!$C$25:$E$28,3,0)=MAX(J$95:J97),"",' '!B28))</f>
      </c>
      <c r="K98" s="180"/>
      <c r="L98" s="181" t="str">
        <f>IF(' '!$L$29=0,M25,VLOOKUP(' '!B28,' '!$C$25:$O$28,4,0))</f>
        <v>DJK Hoisten</v>
      </c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330">
        <f>IF(AND(L98&amp;$AG$84=VLOOKUP(L98&amp;$AG$84,' '!$C$44:$G$79,1,0),VLOOKUP(L98&amp;$AG$84,' '!$C$44:$G$79,4,0)&lt;&gt;""),VLOOKUP(L98&amp;$AG$84,' '!$C$44:$G$79,4,0),VLOOKUP(L98&amp;$AG$84,' '!$C$44:$G$79,5,0))</f>
      </c>
      <c r="AH98" s="330"/>
      <c r="AI98" s="331"/>
      <c r="AJ98" s="362">
        <f>IF(AND(L98&amp;$AJ$84=VLOOKUP(L98&amp;$AJ$84,' '!$C$44:$G$79,1,0),VLOOKUP(L98&amp;$AJ$84,' '!$C$44:$G$79,4,0)&lt;&gt;""),VLOOKUP(L98&amp;$AJ$84,' '!$C$44:$G$79,4,0),VLOOKUP(L98&amp;$AJ$84,' '!$C$44:$G$79,5,0))</f>
      </c>
      <c r="AK98" s="363"/>
      <c r="AL98" s="364"/>
      <c r="AM98" s="362">
        <f>IF(AND(L98&amp;$AM$84=VLOOKUP(L98&amp;$AM$84,' '!$C$44:$G$79,1,0),VLOOKUP(L98&amp;$AM$84,' '!$C$44:$G$79,4,0)&lt;&gt;""),VLOOKUP(L98&amp;$AM$84,' '!$C$44:$G$79,4,0),VLOOKUP(L98&amp;$AM$84,' '!$C$44:$G$79,5,0))</f>
      </c>
      <c r="AN98" s="363"/>
      <c r="AO98" s="364"/>
      <c r="AP98" s="379"/>
      <c r="AQ98" s="380"/>
      <c r="AR98" s="380"/>
      <c r="AS98" s="368">
        <f>IF(' '!$L$29=0,"",VLOOKUP(' '!B28,' '!$C$25:$O$28,10,0))</f>
      </c>
      <c r="AT98" s="368"/>
      <c r="AU98" s="369"/>
      <c r="AV98" s="226">
        <f>IF(' '!$L$29=0,"",VLOOKUP(' '!B28,' '!$C$25:$O$28,11,0))</f>
      </c>
      <c r="AW98" s="227"/>
      <c r="AX98" s="228"/>
      <c r="AY98" s="226">
        <f>IF(' '!$L$29=0,"",VLOOKUP(' '!B28,' '!$C$25:$O$28,12,0))</f>
      </c>
      <c r="AZ98" s="227"/>
      <c r="BA98" s="228"/>
      <c r="BB98" s="226">
        <f>IF(' '!$L$29=0,"",VLOOKUP(' '!B28,' '!$C$25:$O$28,13,0))</f>
      </c>
      <c r="BC98" s="227"/>
      <c r="BD98" s="228"/>
      <c r="BE98" s="226">
        <f>IF(' '!$L$29=0,"",VLOOKUP(' '!B28,' '!$C$25:$O$28,5,0))</f>
      </c>
      <c r="BF98" s="227"/>
      <c r="BG98" s="43">
        <f>IF(' '!$L$29=0,"",":")</f>
      </c>
      <c r="BH98" s="227">
        <f>IF(' '!$L$29=0,"",VLOOKUP(' '!B28,' '!$C$25:$O$28,6,0))</f>
      </c>
      <c r="BI98" s="228"/>
      <c r="BJ98" s="353">
        <f>IF(' '!$L$29=0,"",BE98-BH98)</f>
      </c>
      <c r="BK98" s="407"/>
      <c r="BL98" s="407"/>
      <c r="BM98" s="226">
        <f>IF(' '!$L$29=0,"",VLOOKUP(' '!B28,' '!$C$25:$O$28,7,0))</f>
      </c>
      <c r="BN98" s="227"/>
      <c r="BO98" s="405"/>
      <c r="BP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</row>
    <row r="99" spans="6:166" s="1" customFormat="1" ht="16.5" customHeight="1" thickBot="1">
      <c r="F99" s="3"/>
      <c r="G99" s="2"/>
      <c r="H99" s="2"/>
      <c r="I99" s="78"/>
      <c r="J99" s="44"/>
      <c r="K99" s="44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7"/>
      <c r="AV99" s="46"/>
      <c r="AW99" s="46"/>
      <c r="AX99" s="48"/>
      <c r="AY99" s="48"/>
      <c r="AZ99" s="48"/>
      <c r="BA99" s="46"/>
      <c r="BB99" s="46"/>
      <c r="BC99" s="46"/>
      <c r="BO99" s="3"/>
      <c r="BP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</row>
    <row r="100" spans="6:166" s="1" customFormat="1" ht="16.5" customHeight="1" thickBot="1">
      <c r="F100" s="3"/>
      <c r="G100" s="2"/>
      <c r="H100" s="2"/>
      <c r="I100" s="78"/>
      <c r="J100" s="402" t="str">
        <f>IF(' '!L38=0,"Gruppen 3.",IF(' '!B38&lt;&gt;' '!L38,"es liegen nicht alle Ergebnisse vor","Gruppen 3."))</f>
        <v>Gruppen 3.</v>
      </c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4"/>
      <c r="AG100" s="391" t="s">
        <v>19</v>
      </c>
      <c r="AH100" s="391"/>
      <c r="AI100" s="392"/>
      <c r="AJ100" s="390" t="s">
        <v>20</v>
      </c>
      <c r="AK100" s="391"/>
      <c r="AL100" s="392"/>
      <c r="AM100" s="390" t="s">
        <v>21</v>
      </c>
      <c r="AN100" s="391"/>
      <c r="AO100" s="392"/>
      <c r="AP100" s="390" t="s">
        <v>22</v>
      </c>
      <c r="AQ100" s="391"/>
      <c r="AR100" s="392"/>
      <c r="AS100" s="390" t="s">
        <v>23</v>
      </c>
      <c r="AT100" s="391"/>
      <c r="AU100" s="391"/>
      <c r="AV100" s="391"/>
      <c r="AW100" s="392"/>
      <c r="AX100" s="390" t="s">
        <v>24</v>
      </c>
      <c r="AY100" s="391"/>
      <c r="AZ100" s="391"/>
      <c r="BA100" s="390" t="s">
        <v>25</v>
      </c>
      <c r="BB100" s="391"/>
      <c r="BC100" s="421"/>
      <c r="BO100" s="3"/>
      <c r="BP100" s="59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</row>
    <row r="101" spans="1:169" s="1" customFormat="1" ht="16.5" customHeight="1">
      <c r="A101" s="31">
        <v>1</v>
      </c>
      <c r="B101" s="175"/>
      <c r="C101" s="175"/>
      <c r="D101" s="175"/>
      <c r="E101" s="175"/>
      <c r="F101" s="175"/>
      <c r="G101" s="175"/>
      <c r="H101" s="175"/>
      <c r="J101" s="245">
        <f>IF(' '!$L$38&lt;&gt;36,"",1)</f>
      </c>
      <c r="K101" s="246"/>
      <c r="L101" s="418">
        <f>IF(' '!$L$38&lt;&gt;36,"",IF(OR(' '!E11&lt;&gt;1,' '!E21&lt;&gt;1,' '!E31&lt;&gt;1),"3.Platz nicht eindeutig",VLOOKUP(' '!B35,' '!$C$35:$O$37,4,0)))</f>
      </c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20"/>
      <c r="AG101" s="223">
        <f>IF(' '!$L$38&lt;&gt;36,"",IF(OR(' '!E11&lt;&gt;1,' '!E21&lt;&gt;1,' '!E31&lt;&gt;1),"",VLOOKUP(' '!B35,' '!$C$35:$O$37,10,0)))</f>
      </c>
      <c r="AH101" s="224"/>
      <c r="AI101" s="225"/>
      <c r="AJ101" s="223">
        <f>IF(' '!$L$38&lt;&gt;36,"",IF(OR(' '!E11&lt;&gt;1,' '!E21&lt;&gt;1,' '!E31&lt;&gt;1),"",VLOOKUP(' '!B35,' '!$C$35:$O$37,11,0)))</f>
      </c>
      <c r="AK101" s="224"/>
      <c r="AL101" s="225"/>
      <c r="AM101" s="223">
        <f>IF(' '!$L$38&lt;&gt;36,"",IF(OR(' '!E11&lt;&gt;1,' '!E21&lt;&gt;1,' '!E31&lt;&gt;1),"",VLOOKUP(' '!B35,' '!$C$35:$O$37,12,0)))</f>
      </c>
      <c r="AN101" s="224"/>
      <c r="AO101" s="225"/>
      <c r="AP101" s="223">
        <f>IF(' '!$L$38&lt;&gt;36,"",IF(OR(' '!E11&lt;&gt;1,' '!E21&lt;&gt;1,' '!E31&lt;&gt;1),"",VLOOKUP(' '!B35,' '!$C$35:$O$37,13,0)))</f>
      </c>
      <c r="AQ101" s="224"/>
      <c r="AR101" s="225"/>
      <c r="AS101" s="223">
        <f>IF(' '!$L$38&lt;&gt;36,"",IF(OR(' '!E11&lt;&gt;1,' '!E21&lt;&gt;1,' '!E31&lt;&gt;1),"",VLOOKUP(' '!B35,' '!$C$35:$O$37,5,0)))</f>
      </c>
      <c r="AT101" s="224"/>
      <c r="AU101" s="42">
        <f>IF(' '!$L$38&lt;&gt;36,"",IF(OR(' '!E11&lt;&gt;1,' '!E21&lt;&gt;1,' '!E31&lt;&gt;1),"",":"))</f>
      </c>
      <c r="AV101" s="224">
        <f>IF(' '!$L$38&lt;&gt;36,"",IF(OR(' '!E11&lt;&gt;1,' '!E21&lt;&gt;1,' '!E31&lt;&gt;1),"",VLOOKUP(' '!B35,' '!$C$35:$O$37,6,0)))</f>
      </c>
      <c r="AW101" s="225"/>
      <c r="AX101" s="229">
        <f>IF(' '!$L$38&lt;&gt;36,"",IF(OR(' '!E11&lt;&gt;1,' '!E21&lt;&gt;1,' '!E31&lt;&gt;1),"",AS101-AV101))</f>
      </c>
      <c r="AY101" s="230"/>
      <c r="AZ101" s="230"/>
      <c r="BA101" s="223">
        <f>IF(' '!$L$38&lt;&gt;36,"",IF(OR(' '!E11&lt;&gt;1,' '!E21&lt;&gt;1,' '!E31&lt;&gt;1),"",VLOOKUP(' '!B35,' '!$C$35:$O$37,7,0)))</f>
      </c>
      <c r="BB101" s="224"/>
      <c r="BC101" s="334"/>
      <c r="BO101" s="3"/>
      <c r="BP101" s="59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9"/>
      <c r="CJ101" s="79"/>
      <c r="CK101" s="79"/>
      <c r="CL101" s="79"/>
      <c r="CM101" s="79"/>
      <c r="CN101" s="79"/>
      <c r="CO101" s="79"/>
      <c r="CP101" s="79"/>
      <c r="CQ101" s="79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47"/>
      <c r="DE101" s="47"/>
      <c r="DF101" s="47"/>
      <c r="DG101" s="47"/>
      <c r="DH101" s="47"/>
      <c r="DI101" s="57"/>
      <c r="DJ101" s="57"/>
      <c r="DK101" s="57"/>
      <c r="DL101" s="47"/>
      <c r="DM101" s="47"/>
      <c r="DN101" s="47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</row>
    <row r="102" spans="1:169" s="1" customFormat="1" ht="16.5" customHeight="1">
      <c r="A102" s="31"/>
      <c r="B102" s="175"/>
      <c r="C102" s="175"/>
      <c r="D102" s="175"/>
      <c r="E102" s="175"/>
      <c r="F102" s="175"/>
      <c r="G102" s="175"/>
      <c r="H102" s="175"/>
      <c r="I102" s="4"/>
      <c r="J102" s="245">
        <f>IF(' '!$L$38&lt;&gt;36,"",IF(VLOOKUP(' '!B36,' '!$C$35:$E$37,3,0)=MAX(J$101:J101),"",' '!B36))</f>
      </c>
      <c r="K102" s="246"/>
      <c r="L102" s="408">
        <f>IF(' '!$L$38&lt;&gt;36,"",IF(OR(' '!E11&lt;&gt;1,' '!E21&lt;&gt;1,' '!E31&lt;&gt;1),"3.Platz nicht eindeutig",VLOOKUP(' '!B36,' '!$C$35:$O$37,4,0)))</f>
      </c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10"/>
      <c r="AG102" s="223">
        <f>IF(' '!$L$38&lt;&gt;36,"",IF(OR(' '!E11&lt;&gt;1,' '!E21&lt;&gt;1,' '!E31&lt;&gt;1),"",VLOOKUP(' '!B36,' '!$C$35:$O$37,10,0)))</f>
      </c>
      <c r="AH102" s="224"/>
      <c r="AI102" s="225"/>
      <c r="AJ102" s="223">
        <f>IF(' '!$L$38&lt;&gt;36,"",IF(OR(' '!E11&lt;&gt;1,' '!E21&lt;&gt;1,' '!E31&lt;&gt;1),"",VLOOKUP(' '!B36,' '!$C$35:$O$37,11,0)))</f>
      </c>
      <c r="AK102" s="224"/>
      <c r="AL102" s="225"/>
      <c r="AM102" s="223">
        <f>IF(' '!$L$38&lt;&gt;36,"",IF(OR(' '!E11&lt;&gt;1,' '!E21&lt;&gt;1,' '!E31&lt;&gt;1),"",VLOOKUP(' '!B36,' '!$C$35:$O$37,12,0)))</f>
      </c>
      <c r="AN102" s="224"/>
      <c r="AO102" s="225"/>
      <c r="AP102" s="223">
        <f>IF(' '!$L$38&lt;&gt;36,"",IF(OR(' '!E11&lt;&gt;1,' '!E21&lt;&gt;1,' '!E31&lt;&gt;1),"",VLOOKUP(' '!B36,' '!$C$35:$O$37,13,0)))</f>
      </c>
      <c r="AQ102" s="224"/>
      <c r="AR102" s="225"/>
      <c r="AS102" s="223">
        <f>IF(' '!$L$38&lt;&gt;36,"",IF(OR(' '!E11&lt;&gt;1,' '!E21&lt;&gt;1,' '!E31&lt;&gt;1),"",VLOOKUP(' '!B36,' '!$C$35:$O$37,5,0)))</f>
      </c>
      <c r="AT102" s="224"/>
      <c r="AU102" s="42">
        <f>IF(' '!$L$38&lt;&gt;36,"",IF(OR(' '!E11&lt;&gt;1,' '!E21&lt;&gt;1,' '!E31&lt;&gt;1),"",":"))</f>
      </c>
      <c r="AV102" s="224">
        <f>IF(' '!$L$38&lt;&gt;36,"",IF(OR(' '!E11&lt;&gt;1,' '!E21&lt;&gt;1,' '!E31&lt;&gt;1),"",VLOOKUP(' '!B36,' '!$C$35:$O$37,6,0)))</f>
      </c>
      <c r="AW102" s="225"/>
      <c r="AX102" s="229">
        <f>IF(' '!$L$38&lt;&gt;36,"",IF(OR(' '!E11&lt;&gt;1,' '!E21&lt;&gt;1,' '!E31&lt;&gt;1),"",AS102-AV102))</f>
      </c>
      <c r="AY102" s="230"/>
      <c r="AZ102" s="230"/>
      <c r="BA102" s="223">
        <f>IF(' '!$L$38&lt;&gt;36,"",IF(OR(' '!E11&lt;&gt;1,' '!E21&lt;&gt;1,' '!E31&lt;&gt;1),"",VLOOKUP(' '!B36,' '!$C$35:$O$37,7,0)))</f>
      </c>
      <c r="BB102" s="224"/>
      <c r="BC102" s="334"/>
      <c r="BO102" s="3"/>
      <c r="BP102" s="3"/>
      <c r="BQ102" s="78"/>
      <c r="BS102" s="54"/>
      <c r="BT102" s="54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57"/>
      <c r="DT102" s="57"/>
      <c r="DU102" s="57"/>
      <c r="DV102" s="47"/>
      <c r="DW102" s="47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</row>
    <row r="103" spans="1:169" s="1" customFormat="1" ht="16.5" customHeight="1" thickBot="1">
      <c r="A103" s="31"/>
      <c r="B103" s="175"/>
      <c r="C103" s="175"/>
      <c r="D103" s="175"/>
      <c r="E103" s="175"/>
      <c r="F103" s="175"/>
      <c r="G103" s="175"/>
      <c r="H103" s="175"/>
      <c r="I103" s="147"/>
      <c r="J103" s="179">
        <f>IF(' '!$L$38&lt;&gt;36,"",IF(VLOOKUP(' '!B37,' '!$C$35:$E$37,3,0)=MAX(J$101:J102),"",' '!B37))</f>
      </c>
      <c r="K103" s="180"/>
      <c r="L103" s="312">
        <f>IF(' '!$L$38&lt;&gt;36,"",IF(OR(' '!E11&lt;&gt;1,' '!E21&lt;&gt;1,' '!E31&lt;&gt;1),"3.Platz nicht eindeutig",VLOOKUP(' '!B37,' '!$C$35:$O$37,4,0)))</f>
      </c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4"/>
      <c r="AG103" s="226">
        <f>IF(' '!$L$38&lt;&gt;36,"",IF(OR(' '!E11&lt;&gt;1,' '!E21&lt;&gt;1,' '!E31&lt;&gt;1),"",VLOOKUP(' '!B37,' '!$C$35:$O$37,10,0)))</f>
      </c>
      <c r="AH103" s="227"/>
      <c r="AI103" s="228"/>
      <c r="AJ103" s="226">
        <f>IF(' '!$L$38&lt;&gt;36,"",IF(OR(' '!E11&lt;&gt;1,' '!E21&lt;&gt;1,' '!E31&lt;&gt;1),"",VLOOKUP(' '!B37,' '!$C$35:$O$37,11,0)))</f>
      </c>
      <c r="AK103" s="227"/>
      <c r="AL103" s="228"/>
      <c r="AM103" s="226">
        <f>IF(' '!$L$38&lt;&gt;36,"",IF(OR(' '!E11&lt;&gt;1,' '!E21&lt;&gt;1,' '!E31&lt;&gt;1),"",VLOOKUP(' '!B37,' '!$C$35:$O$37,12,0)))</f>
      </c>
      <c r="AN103" s="227"/>
      <c r="AO103" s="228"/>
      <c r="AP103" s="226">
        <f>IF(' '!$L$38&lt;&gt;36,"",IF(OR(' '!E11&lt;&gt;1,' '!E21&lt;&gt;1,' '!E31&lt;&gt;1),"",VLOOKUP(' '!B37,' '!$C$35:$O$37,13,0)))</f>
      </c>
      <c r="AQ103" s="227"/>
      <c r="AR103" s="228"/>
      <c r="AS103" s="226">
        <f>IF(' '!$L$38&lt;&gt;36,"",IF(OR(' '!E11&lt;&gt;1,' '!E21&lt;&gt;1,' '!E31&lt;&gt;1),"",VLOOKUP(' '!B37,' '!$C$35:$O$37,5,0)))</f>
      </c>
      <c r="AT103" s="227"/>
      <c r="AU103" s="43">
        <f>IF(' '!$L$38&lt;&gt;36,"",IF(OR(' '!E11&lt;&gt;1,' '!E21&lt;&gt;1,' '!E31&lt;&gt;1),"",":"))</f>
      </c>
      <c r="AV103" s="227">
        <f>IF(' '!$L$38&lt;&gt;36,"",IF(OR(' '!E11&lt;&gt;1,' '!E21&lt;&gt;1,' '!E31&lt;&gt;1),"",VLOOKUP(' '!B37,' '!$C$35:$O$37,6,0)))</f>
      </c>
      <c r="AW103" s="228"/>
      <c r="AX103" s="353">
        <f>IF(' '!$L$38&lt;&gt;36,"",IF(OR(' '!E11&lt;&gt;1,' '!E21&lt;&gt;1,' '!E31&lt;&gt;1),"",AS103-AV103))</f>
      </c>
      <c r="AY103" s="407"/>
      <c r="AZ103" s="407"/>
      <c r="BA103" s="226">
        <f>IF(' '!$L$38&lt;&gt;36,"",IF(OR(' '!E11&lt;&gt;1,' '!E21&lt;&gt;1,' '!E31&lt;&gt;1),"",VLOOKUP(' '!B37,' '!$C$35:$O$37,7,0)))</f>
      </c>
      <c r="BB103" s="227"/>
      <c r="BC103" s="405"/>
      <c r="BO103" s="30"/>
      <c r="BP103" s="3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</row>
    <row r="104" spans="1:169" s="1" customFormat="1" ht="16.5" customHeight="1">
      <c r="A104" s="31"/>
      <c r="B104" s="93"/>
      <c r="C104" s="93"/>
      <c r="D104" s="93"/>
      <c r="E104" s="93"/>
      <c r="F104" s="93"/>
      <c r="G104" s="93"/>
      <c r="H104" s="93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7"/>
      <c r="AT104" s="147"/>
      <c r="AU104" s="147"/>
      <c r="AV104" s="147"/>
      <c r="AW104" s="147"/>
      <c r="AX104" s="147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26"/>
      <c r="BP104" s="3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</row>
    <row r="105" spans="2:154" s="1" customFormat="1" ht="16.5" customHeight="1">
      <c r="B105" s="34"/>
      <c r="C105" s="34"/>
      <c r="D105" s="34"/>
      <c r="E105" s="34"/>
      <c r="F105" s="34"/>
      <c r="G105" s="34"/>
      <c r="H105" s="34"/>
      <c r="I105" s="34"/>
      <c r="J105" s="50"/>
      <c r="K105" s="50"/>
      <c r="L105" s="50"/>
      <c r="M105" s="5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2"/>
      <c r="AQ105" s="52"/>
      <c r="AR105" s="52"/>
      <c r="AS105" s="52"/>
      <c r="AT105" s="52"/>
      <c r="AU105" s="53"/>
      <c r="AV105" s="53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146"/>
      <c r="BK105" s="146"/>
      <c r="BL105" s="146"/>
      <c r="BM105" s="146"/>
      <c r="BN105" s="146"/>
      <c r="BO105" s="146"/>
      <c r="BP105" s="146"/>
      <c r="BQ105" s="146"/>
      <c r="BR105" s="150"/>
      <c r="BS105" s="150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52"/>
      <c r="DP105" s="152"/>
      <c r="DQ105" s="152"/>
      <c r="DR105" s="153"/>
      <c r="DS105" s="153"/>
      <c r="DT105" s="153"/>
      <c r="DU105" s="152"/>
      <c r="DV105" s="152"/>
      <c r="DW105" s="152"/>
      <c r="DX105" s="21"/>
      <c r="DY105" s="21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</row>
    <row r="106" spans="2:154" s="1" customFormat="1" ht="16.5" customHeight="1">
      <c r="B106" s="34"/>
      <c r="C106" s="62" t="s">
        <v>26</v>
      </c>
      <c r="D106" s="34"/>
      <c r="E106" s="34"/>
      <c r="F106" s="34"/>
      <c r="G106" s="34"/>
      <c r="H106" s="34"/>
      <c r="I106" s="34"/>
      <c r="J106" s="50"/>
      <c r="AF106" s="51"/>
      <c r="BB106" s="2"/>
      <c r="BC106" s="2"/>
      <c r="BD106" s="2"/>
      <c r="BE106" s="2"/>
      <c r="BF106" s="2"/>
      <c r="BG106" s="2"/>
      <c r="BH106" s="2"/>
      <c r="BI106" s="2"/>
      <c r="BJ106" s="146"/>
      <c r="BK106" s="146"/>
      <c r="BL106" s="146"/>
      <c r="BM106" s="146"/>
      <c r="BN106" s="146"/>
      <c r="BO106" s="146"/>
      <c r="BP106" s="146"/>
      <c r="BQ106" s="146"/>
      <c r="BR106" s="150"/>
      <c r="BS106" s="150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2"/>
      <c r="DB106" s="152"/>
      <c r="DC106" s="152"/>
      <c r="DD106" s="152"/>
      <c r="DE106" s="152"/>
      <c r="DF106" s="152"/>
      <c r="DG106" s="152"/>
      <c r="DH106" s="152"/>
      <c r="DI106" s="152"/>
      <c r="DJ106" s="152"/>
      <c r="DK106" s="152"/>
      <c r="DL106" s="152"/>
      <c r="DM106" s="152"/>
      <c r="DN106" s="152"/>
      <c r="DO106" s="52"/>
      <c r="DP106" s="152"/>
      <c r="DQ106" s="152"/>
      <c r="DR106" s="153"/>
      <c r="DS106" s="153"/>
      <c r="DT106" s="153"/>
      <c r="DU106" s="152"/>
      <c r="DV106" s="152"/>
      <c r="DW106" s="152"/>
      <c r="DX106" s="4"/>
      <c r="DY106" s="4"/>
      <c r="DZ106" s="26"/>
      <c r="EA106" s="26"/>
      <c r="EB106" s="26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</row>
    <row r="107" spans="1:154" s="1" customFormat="1" ht="16.5" customHeight="1">
      <c r="A107" s="96"/>
      <c r="BB107" s="2"/>
      <c r="BC107" s="2"/>
      <c r="BD107" s="2"/>
      <c r="BE107" s="2"/>
      <c r="BF107" s="2"/>
      <c r="BG107" s="2"/>
      <c r="BH107" s="2"/>
      <c r="BI107" s="2"/>
      <c r="BJ107" s="146"/>
      <c r="BK107" s="146"/>
      <c r="BL107" s="146"/>
      <c r="BM107" s="146"/>
      <c r="BN107" s="146"/>
      <c r="BO107" s="146"/>
      <c r="BP107" s="146"/>
      <c r="BQ107" s="146"/>
      <c r="BR107" s="150"/>
      <c r="BS107" s="150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52"/>
      <c r="DP107" s="152"/>
      <c r="DQ107" s="152"/>
      <c r="DR107" s="153"/>
      <c r="DS107" s="153"/>
      <c r="DT107" s="153"/>
      <c r="DU107" s="152"/>
      <c r="DV107" s="152"/>
      <c r="DW107" s="152"/>
      <c r="DX107" s="22"/>
      <c r="DY107" s="22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4"/>
      <c r="ES107" s="4"/>
      <c r="ET107" s="4"/>
      <c r="EU107" s="4"/>
      <c r="EV107" s="4"/>
      <c r="EW107" s="4"/>
      <c r="EX107" s="4"/>
    </row>
    <row r="108" spans="1:154" s="24" customFormat="1" ht="16.5" customHeight="1">
      <c r="A108" s="1"/>
      <c r="B108" s="222" t="s">
        <v>48</v>
      </c>
      <c r="C108" s="222"/>
      <c r="D108" s="222"/>
      <c r="E108" s="222"/>
      <c r="F108" s="222"/>
      <c r="G108" s="222"/>
      <c r="H108" s="288">
        <v>0.5104166666666666</v>
      </c>
      <c r="I108" s="288"/>
      <c r="J108" s="288"/>
      <c r="K108" s="288"/>
      <c r="L108" s="96" t="s">
        <v>1</v>
      </c>
      <c r="M108" s="96"/>
      <c r="N108" s="96"/>
      <c r="O108" s="96"/>
      <c r="P108" s="96"/>
      <c r="Q108" s="96"/>
      <c r="R108" s="96"/>
      <c r="S108" s="96"/>
      <c r="T108" s="97" t="s">
        <v>2</v>
      </c>
      <c r="U108" s="219">
        <f>U10</f>
        <v>1</v>
      </c>
      <c r="V108" s="219"/>
      <c r="W108" s="98" t="s">
        <v>3</v>
      </c>
      <c r="X108" s="267">
        <f>X10</f>
        <v>17</v>
      </c>
      <c r="Y108" s="267"/>
      <c r="Z108" s="267"/>
      <c r="AA108" s="267"/>
      <c r="AB108" s="267"/>
      <c r="AC108" s="221">
        <f>IF(U108=2,"Halbzeit:","")</f>
      </c>
      <c r="AD108" s="221"/>
      <c r="AE108" s="221"/>
      <c r="AF108" s="221"/>
      <c r="AG108" s="221"/>
      <c r="AH108" s="221"/>
      <c r="AI108" s="267">
        <f>AI10</f>
        <v>0</v>
      </c>
      <c r="AJ108" s="267"/>
      <c r="AK108" s="267"/>
      <c r="AL108" s="267"/>
      <c r="AM108" s="267"/>
      <c r="AN108" s="222" t="s">
        <v>4</v>
      </c>
      <c r="AO108" s="222"/>
      <c r="AP108" s="222"/>
      <c r="AQ108" s="222"/>
      <c r="AR108" s="222"/>
      <c r="AS108" s="222"/>
      <c r="AT108" s="222"/>
      <c r="AU108" s="222"/>
      <c r="AV108" s="222"/>
      <c r="AW108" s="263">
        <f>AW10</f>
        <v>3</v>
      </c>
      <c r="AX108" s="263"/>
      <c r="AY108" s="263"/>
      <c r="AZ108" s="263"/>
      <c r="BA108" s="263"/>
      <c r="BB108" s="2"/>
      <c r="BC108" s="2"/>
      <c r="BD108" s="2"/>
      <c r="BE108" s="2"/>
      <c r="BF108" s="2"/>
      <c r="BG108" s="2"/>
      <c r="BH108" s="2"/>
      <c r="BI108" s="2"/>
      <c r="BJ108" s="146"/>
      <c r="BK108" s="146"/>
      <c r="BL108" s="146"/>
      <c r="BM108" s="146"/>
      <c r="BN108" s="146"/>
      <c r="BO108" s="146"/>
      <c r="BP108" s="146"/>
      <c r="BQ108" s="146"/>
      <c r="BR108" s="150"/>
      <c r="BS108" s="150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52"/>
      <c r="DP108" s="152"/>
      <c r="DQ108" s="152"/>
      <c r="DR108" s="153"/>
      <c r="DS108" s="153"/>
      <c r="DT108" s="153"/>
      <c r="DU108" s="152"/>
      <c r="DV108" s="152"/>
      <c r="DW108" s="152"/>
      <c r="DX108" s="22"/>
      <c r="DY108" s="22"/>
      <c r="DZ108" s="21"/>
      <c r="EA108" s="21"/>
      <c r="EB108" s="21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</row>
    <row r="109" spans="1:154" s="24" customFormat="1" ht="16.5" customHeight="1">
      <c r="A109" s="1"/>
      <c r="B109" s="97"/>
      <c r="C109" s="97"/>
      <c r="D109" s="97"/>
      <c r="E109" s="97"/>
      <c r="F109" s="97"/>
      <c r="G109" s="97"/>
      <c r="H109" s="142"/>
      <c r="I109" s="142"/>
      <c r="J109" s="142"/>
      <c r="K109" s="142"/>
      <c r="L109" s="96"/>
      <c r="M109" s="96"/>
      <c r="N109" s="96"/>
      <c r="O109" s="96"/>
      <c r="P109" s="96"/>
      <c r="Q109" s="96"/>
      <c r="R109" s="96"/>
      <c r="S109" s="96"/>
      <c r="T109" s="97"/>
      <c r="U109" s="98"/>
      <c r="V109" s="98"/>
      <c r="W109" s="98"/>
      <c r="X109" s="143"/>
      <c r="Y109" s="143"/>
      <c r="Z109" s="143"/>
      <c r="AA109" s="143"/>
      <c r="AB109" s="143"/>
      <c r="AC109" s="140"/>
      <c r="AD109" s="140"/>
      <c r="AE109" s="140"/>
      <c r="AF109" s="140"/>
      <c r="AG109" s="140"/>
      <c r="AH109" s="140"/>
      <c r="AI109" s="143"/>
      <c r="AJ109" s="143"/>
      <c r="AK109" s="143"/>
      <c r="AL109" s="143"/>
      <c r="AM109" s="143"/>
      <c r="AN109" s="97"/>
      <c r="AO109" s="97"/>
      <c r="AP109" s="97"/>
      <c r="AQ109" s="97"/>
      <c r="AR109" s="97"/>
      <c r="AS109" s="97"/>
      <c r="AT109" s="97"/>
      <c r="AU109" s="97"/>
      <c r="AV109" s="97"/>
      <c r="AW109" s="141"/>
      <c r="AX109" s="141"/>
      <c r="AY109" s="141"/>
      <c r="AZ109" s="141"/>
      <c r="BA109" s="141"/>
      <c r="BB109" s="2"/>
      <c r="BC109" s="2"/>
      <c r="BD109" s="2"/>
      <c r="BE109" s="2"/>
      <c r="BF109" s="2"/>
      <c r="BG109" s="2"/>
      <c r="BH109" s="2"/>
      <c r="BI109" s="2"/>
      <c r="BJ109" s="146"/>
      <c r="BK109" s="146"/>
      <c r="BL109" s="146"/>
      <c r="BM109" s="146"/>
      <c r="BN109" s="146"/>
      <c r="BO109" s="146"/>
      <c r="BP109" s="146"/>
      <c r="BQ109" s="146"/>
      <c r="BR109" s="150"/>
      <c r="BS109" s="150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52"/>
      <c r="DP109" s="152"/>
      <c r="DQ109" s="152"/>
      <c r="DR109" s="153"/>
      <c r="DS109" s="153"/>
      <c r="DT109" s="153"/>
      <c r="DU109" s="152"/>
      <c r="DV109" s="152"/>
      <c r="DW109" s="152"/>
      <c r="DX109" s="22"/>
      <c r="DY109" s="22"/>
      <c r="DZ109" s="21"/>
      <c r="EA109" s="21"/>
      <c r="EB109" s="21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</row>
    <row r="110" spans="1:158" s="24" customFormat="1" ht="16.5" customHeight="1" thickBot="1">
      <c r="A110" s="1"/>
      <c r="B110" s="97"/>
      <c r="C110" s="97"/>
      <c r="D110" s="97"/>
      <c r="E110" s="97"/>
      <c r="F110" s="97"/>
      <c r="G110" s="97"/>
      <c r="H110" s="142"/>
      <c r="I110" s="142"/>
      <c r="J110" s="97"/>
      <c r="K110" s="97"/>
      <c r="L110" s="142"/>
      <c r="M110" s="142"/>
      <c r="N110" s="142"/>
      <c r="O110" s="142"/>
      <c r="P110" s="96"/>
      <c r="Q110" s="96"/>
      <c r="R110" s="96"/>
      <c r="S110" s="96"/>
      <c r="T110" s="96"/>
      <c r="U110" s="96"/>
      <c r="V110" s="96"/>
      <c r="W110" s="96"/>
      <c r="X110" s="97"/>
      <c r="Y110" s="98"/>
      <c r="Z110" s="98"/>
      <c r="AA110" s="98"/>
      <c r="AB110" s="143"/>
      <c r="AC110" s="143"/>
      <c r="AD110" s="143"/>
      <c r="AE110" s="143"/>
      <c r="AF110" s="143"/>
      <c r="AG110" s="140"/>
      <c r="AH110" s="140"/>
      <c r="AI110" s="140"/>
      <c r="AJ110" s="140"/>
      <c r="AK110" s="140"/>
      <c r="AL110" s="140"/>
      <c r="AM110" s="143"/>
      <c r="AN110" s="143"/>
      <c r="AO110" s="143"/>
      <c r="AP110" s="143"/>
      <c r="AQ110" s="143"/>
      <c r="AR110" s="97"/>
      <c r="AS110" s="97"/>
      <c r="AT110" s="97"/>
      <c r="AU110" s="97"/>
      <c r="AV110" s="97"/>
      <c r="AW110" s="97"/>
      <c r="AX110" s="97"/>
      <c r="AY110" s="97"/>
      <c r="AZ110" s="97"/>
      <c r="BA110" s="141"/>
      <c r="BB110" s="141"/>
      <c r="BC110" s="141"/>
      <c r="BD110" s="141"/>
      <c r="BE110" s="141"/>
      <c r="BF110" s="2"/>
      <c r="BG110" s="2"/>
      <c r="BH110" s="2"/>
      <c r="BI110" s="2"/>
      <c r="BJ110" s="2"/>
      <c r="BK110" s="2"/>
      <c r="BL110" s="2"/>
      <c r="BM110" s="2"/>
      <c r="BN110" s="146"/>
      <c r="BO110" s="146"/>
      <c r="BP110" s="146"/>
      <c r="BQ110" s="146"/>
      <c r="BR110" s="146"/>
      <c r="BS110" s="146"/>
      <c r="BT110" s="146"/>
      <c r="BU110" s="146"/>
      <c r="BV110" s="150"/>
      <c r="BW110" s="150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52"/>
      <c r="DT110" s="152"/>
      <c r="DU110" s="152"/>
      <c r="DV110" s="153"/>
      <c r="DW110" s="153"/>
      <c r="DX110" s="153"/>
      <c r="DY110" s="152"/>
      <c r="DZ110" s="152"/>
      <c r="EA110" s="152"/>
      <c r="EB110" s="22"/>
      <c r="EC110" s="22"/>
      <c r="ED110" s="21"/>
      <c r="EE110" s="21"/>
      <c r="EF110" s="21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</row>
    <row r="111" spans="1:152" s="18" customFormat="1" ht="16.5" customHeight="1" thickBot="1">
      <c r="A111" s="1"/>
      <c r="B111" s="1"/>
      <c r="C111" s="1"/>
      <c r="D111" s="241" t="s">
        <v>10</v>
      </c>
      <c r="E111" s="242"/>
      <c r="F111" s="243" t="s">
        <v>47</v>
      </c>
      <c r="G111" s="243"/>
      <c r="H111" s="243"/>
      <c r="I111" s="242"/>
      <c r="J111" s="243" t="s">
        <v>49</v>
      </c>
      <c r="K111" s="243"/>
      <c r="L111" s="243"/>
      <c r="M111" s="242"/>
      <c r="N111" s="264" t="s">
        <v>62</v>
      </c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43"/>
      <c r="BC111" s="243"/>
      <c r="BD111" s="242"/>
      <c r="BE111" s="264" t="s">
        <v>13</v>
      </c>
      <c r="BF111" s="243"/>
      <c r="BG111" s="243"/>
      <c r="BH111" s="243"/>
      <c r="BI111" s="242"/>
      <c r="BJ111" s="281"/>
      <c r="BK111" s="282"/>
      <c r="BL111" s="282"/>
      <c r="BM111" s="283"/>
      <c r="BN111" s="21"/>
      <c r="BO111" s="22"/>
      <c r="BT111" s="3"/>
      <c r="BU111" s="3"/>
      <c r="BV111" s="3"/>
      <c r="BW111" s="3"/>
      <c r="BX111" s="3"/>
      <c r="BY111" s="3"/>
      <c r="BZ111" s="3"/>
      <c r="CA111" s="32"/>
      <c r="CB111" s="3"/>
      <c r="CC111" s="3"/>
      <c r="CD111" s="3"/>
      <c r="CE111" s="3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22"/>
      <c r="DY111" s="22"/>
      <c r="DZ111" s="22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21"/>
      <c r="EQ111" s="21"/>
      <c r="ER111" s="21"/>
      <c r="ES111" s="21"/>
      <c r="ET111" s="21"/>
      <c r="EU111" s="21"/>
      <c r="EV111" s="21"/>
    </row>
    <row r="112" spans="4:152" s="1" customFormat="1" ht="16.5" customHeight="1">
      <c r="D112" s="239">
        <v>20</v>
      </c>
      <c r="E112" s="158"/>
      <c r="F112" s="156">
        <v>1</v>
      </c>
      <c r="G112" s="157"/>
      <c r="H112" s="157"/>
      <c r="I112" s="158"/>
      <c r="J112" s="259">
        <f>H108</f>
        <v>0.5104166666666666</v>
      </c>
      <c r="K112" s="259"/>
      <c r="L112" s="259"/>
      <c r="M112" s="260"/>
      <c r="N112" s="177">
        <f>IF(OR(' '!L9=0,' '!B9&lt;&gt;' '!L9),"",IF(OR(F63=1,F64=1,F65=1,F66=1),VLOOKUP(SMALL($F$63:$H$66,1),$F$63:$AF$66,7,0),IF(AND(' '!L9=' '!B9,' '!E9=1),L63,"1. Platz Gruppen A nicht eindeutig")))</f>
      </c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39" t="s">
        <v>16</v>
      </c>
      <c r="AJ112" s="178">
        <f>IF(OR(' '!L19=0,' '!B19&lt;&gt;' '!L19),"",IF(OR(F79=2,F80=2,F81=2,F82=2),VLOOKUP(SMALL($F$79:$H$82,2),$F$79:$AF$82,7,0),IF(AND(' '!L19=' '!B19,' '!E20=1),L80,"2. Platz Gruppen B nicht eindeutig")))</f>
      </c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270"/>
      <c r="BE112" s="265"/>
      <c r="BF112" s="266"/>
      <c r="BG112" s="266"/>
      <c r="BH112" s="268"/>
      <c r="BI112" s="269"/>
      <c r="BJ112" s="250"/>
      <c r="BK112" s="251"/>
      <c r="BL112" s="251"/>
      <c r="BM112" s="252"/>
      <c r="BN112" s="15"/>
      <c r="BO112" s="18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2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4"/>
      <c r="EQ112" s="4"/>
      <c r="ER112" s="4"/>
      <c r="ES112" s="4"/>
      <c r="ET112" s="4"/>
      <c r="EU112" s="4"/>
      <c r="EV112" s="4"/>
    </row>
    <row r="113" spans="1:152" s="18" customFormat="1" ht="15.75" thickBot="1">
      <c r="A113" s="63"/>
      <c r="B113" s="63"/>
      <c r="C113" s="1"/>
      <c r="D113" s="240"/>
      <c r="E113" s="161"/>
      <c r="F113" s="159"/>
      <c r="G113" s="160"/>
      <c r="H113" s="160"/>
      <c r="I113" s="161"/>
      <c r="J113" s="261"/>
      <c r="K113" s="261"/>
      <c r="L113" s="261"/>
      <c r="M113" s="262"/>
      <c r="N113" s="271" t="s">
        <v>68</v>
      </c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64"/>
      <c r="AJ113" s="272" t="s">
        <v>69</v>
      </c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315"/>
      <c r="BE113" s="273"/>
      <c r="BF113" s="274"/>
      <c r="BG113" s="274"/>
      <c r="BH113" s="274"/>
      <c r="BI113" s="274"/>
      <c r="BJ113" s="247"/>
      <c r="BK113" s="248"/>
      <c r="BL113" s="248"/>
      <c r="BM113" s="249"/>
      <c r="BN113" s="15"/>
      <c r="BO113" s="1"/>
      <c r="BP113" s="1"/>
      <c r="BQ113" s="1"/>
      <c r="BR113" s="1"/>
      <c r="BS113" s="1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</row>
    <row r="114" spans="1:158" s="24" customFormat="1" ht="16.5" customHeight="1" thickBot="1">
      <c r="A114" s="1"/>
      <c r="B114" s="97"/>
      <c r="C114" s="97"/>
      <c r="D114" s="97"/>
      <c r="E114" s="97"/>
      <c r="F114" s="97"/>
      <c r="G114" s="97"/>
      <c r="H114" s="142"/>
      <c r="I114" s="142"/>
      <c r="J114" s="97"/>
      <c r="K114" s="97"/>
      <c r="L114" s="142"/>
      <c r="M114" s="142"/>
      <c r="N114" s="142"/>
      <c r="O114" s="142"/>
      <c r="P114" s="96"/>
      <c r="Q114" s="96"/>
      <c r="R114" s="96"/>
      <c r="S114" s="96"/>
      <c r="T114" s="96"/>
      <c r="U114" s="96"/>
      <c r="V114" s="96"/>
      <c r="W114" s="96"/>
      <c r="X114" s="97"/>
      <c r="Y114" s="98"/>
      <c r="Z114" s="98"/>
      <c r="AA114" s="98"/>
      <c r="AB114" s="143"/>
      <c r="AC114" s="143"/>
      <c r="AD114" s="143"/>
      <c r="AE114" s="143"/>
      <c r="AF114" s="143"/>
      <c r="AG114" s="140"/>
      <c r="AH114" s="140"/>
      <c r="AI114" s="140"/>
      <c r="AJ114" s="140"/>
      <c r="AK114" s="140"/>
      <c r="AL114" s="140"/>
      <c r="AM114" s="143"/>
      <c r="AN114" s="143"/>
      <c r="AO114" s="143"/>
      <c r="AP114" s="143"/>
      <c r="AQ114" s="143"/>
      <c r="AR114" s="97"/>
      <c r="AS114" s="97"/>
      <c r="AT114" s="97"/>
      <c r="AU114" s="97"/>
      <c r="AV114" s="97"/>
      <c r="AW114" s="97"/>
      <c r="AX114" s="97"/>
      <c r="AY114" s="97"/>
      <c r="AZ114" s="97"/>
      <c r="BA114" s="141"/>
      <c r="BB114" s="141"/>
      <c r="BC114" s="141"/>
      <c r="BD114" s="141"/>
      <c r="BE114" s="141"/>
      <c r="BF114" s="2"/>
      <c r="BG114" s="2"/>
      <c r="BH114" s="2"/>
      <c r="BI114" s="2"/>
      <c r="BJ114" s="2"/>
      <c r="BK114" s="2"/>
      <c r="BL114" s="2"/>
      <c r="BM114" s="2"/>
      <c r="BN114" s="146"/>
      <c r="BO114" s="146"/>
      <c r="BP114" s="146"/>
      <c r="BQ114" s="146"/>
      <c r="BR114" s="146"/>
      <c r="BS114" s="146"/>
      <c r="BT114" s="146"/>
      <c r="BU114" s="146"/>
      <c r="BV114" s="150"/>
      <c r="BW114" s="150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52"/>
      <c r="DT114" s="152"/>
      <c r="DU114" s="152"/>
      <c r="DV114" s="153"/>
      <c r="DW114" s="153"/>
      <c r="DX114" s="153"/>
      <c r="DY114" s="152"/>
      <c r="DZ114" s="152"/>
      <c r="EA114" s="152"/>
      <c r="EB114" s="22"/>
      <c r="EC114" s="22"/>
      <c r="ED114" s="21"/>
      <c r="EE114" s="21"/>
      <c r="EF114" s="21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</row>
    <row r="115" spans="1:152" s="18" customFormat="1" ht="16.5" customHeight="1" thickBot="1">
      <c r="A115" s="1"/>
      <c r="B115" s="1"/>
      <c r="C115" s="1"/>
      <c r="D115" s="241" t="s">
        <v>10</v>
      </c>
      <c r="E115" s="242"/>
      <c r="F115" s="243" t="s">
        <v>47</v>
      </c>
      <c r="G115" s="243"/>
      <c r="H115" s="243"/>
      <c r="I115" s="242"/>
      <c r="J115" s="243" t="s">
        <v>49</v>
      </c>
      <c r="K115" s="243"/>
      <c r="L115" s="243"/>
      <c r="M115" s="242"/>
      <c r="N115" s="264" t="s">
        <v>63</v>
      </c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2"/>
      <c r="BE115" s="264" t="s">
        <v>13</v>
      </c>
      <c r="BF115" s="243"/>
      <c r="BG115" s="243"/>
      <c r="BH115" s="243"/>
      <c r="BI115" s="242"/>
      <c r="BJ115" s="281"/>
      <c r="BK115" s="282"/>
      <c r="BL115" s="282"/>
      <c r="BM115" s="283"/>
      <c r="BN115" s="21"/>
      <c r="BO115" s="22"/>
      <c r="BT115" s="3"/>
      <c r="BU115" s="3"/>
      <c r="BV115" s="3"/>
      <c r="BW115" s="3"/>
      <c r="BX115" s="3"/>
      <c r="BY115" s="3"/>
      <c r="BZ115" s="3"/>
      <c r="CA115" s="32"/>
      <c r="CB115" s="3"/>
      <c r="CC115" s="3"/>
      <c r="CD115" s="3"/>
      <c r="CE115" s="3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22"/>
      <c r="DY115" s="22"/>
      <c r="DZ115" s="22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21"/>
      <c r="EQ115" s="21"/>
      <c r="ER115" s="21"/>
      <c r="ES115" s="21"/>
      <c r="ET115" s="21"/>
      <c r="EU115" s="21"/>
      <c r="EV115" s="21"/>
    </row>
    <row r="116" spans="4:152" s="1" customFormat="1" ht="16.5" customHeight="1">
      <c r="D116" s="239">
        <v>21</v>
      </c>
      <c r="E116" s="158"/>
      <c r="F116" s="156">
        <v>2</v>
      </c>
      <c r="G116" s="157"/>
      <c r="H116" s="157"/>
      <c r="I116" s="158"/>
      <c r="J116" s="259">
        <f>J112</f>
        <v>0.5104166666666666</v>
      </c>
      <c r="K116" s="259"/>
      <c r="L116" s="259"/>
      <c r="M116" s="260"/>
      <c r="N116" s="177">
        <f>IF(OR(' '!L9=0,' '!B9&lt;&gt;' '!L9),"",IF(OR(F63=2,F64=2,F65=2,F66=2),VLOOKUP(SMALL($F$63:$H$66,2),$F$63:$AF$66,7,0),IF(AND(' '!L9=' '!B9,' '!E10=1),L64,"2. Platz Gruppen A nicht eindeutig")))</f>
      </c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39" t="s">
        <v>16</v>
      </c>
      <c r="AJ116" s="178">
        <f>IF(OR(' '!L29=0,' '!B29&lt;&gt;' '!L29),"",IF(OR(F95=2,F96=2,F97=2,F98=2),VLOOKUP(SMALL($F$95:$H$98,2),$F$95:$AF$98,7,0),IF(AND(' '!L29=' '!B29,' '!E30=1),L96,"2. Platz Gruppen C nicht eindeutig")))</f>
      </c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270"/>
      <c r="BE116" s="265"/>
      <c r="BF116" s="266"/>
      <c r="BG116" s="266"/>
      <c r="BH116" s="268"/>
      <c r="BI116" s="269"/>
      <c r="BJ116" s="250"/>
      <c r="BK116" s="251"/>
      <c r="BL116" s="251"/>
      <c r="BM116" s="252"/>
      <c r="BN116" s="15"/>
      <c r="BO116" s="18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2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4"/>
      <c r="EQ116" s="4"/>
      <c r="ER116" s="4"/>
      <c r="ES116" s="4"/>
      <c r="ET116" s="4"/>
      <c r="EU116" s="4"/>
      <c r="EV116" s="4"/>
    </row>
    <row r="117" spans="1:152" s="18" customFormat="1" ht="15.75" thickBot="1">
      <c r="A117" s="63"/>
      <c r="B117" s="63"/>
      <c r="C117" s="1"/>
      <c r="D117" s="240"/>
      <c r="E117" s="161"/>
      <c r="F117" s="159"/>
      <c r="G117" s="160"/>
      <c r="H117" s="160"/>
      <c r="I117" s="161"/>
      <c r="J117" s="261"/>
      <c r="K117" s="261"/>
      <c r="L117" s="261"/>
      <c r="M117" s="262"/>
      <c r="N117" s="271" t="s">
        <v>70</v>
      </c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64"/>
      <c r="AJ117" s="272" t="s">
        <v>71</v>
      </c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315"/>
      <c r="BE117" s="273"/>
      <c r="BF117" s="274"/>
      <c r="BG117" s="274"/>
      <c r="BH117" s="274"/>
      <c r="BI117" s="274"/>
      <c r="BJ117" s="247"/>
      <c r="BK117" s="248"/>
      <c r="BL117" s="248"/>
      <c r="BM117" s="249"/>
      <c r="BN117" s="15"/>
      <c r="BO117" s="1"/>
      <c r="BP117" s="1"/>
      <c r="BQ117" s="1"/>
      <c r="BR117" s="1"/>
      <c r="BS117" s="1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</row>
    <row r="118" spans="1:158" s="24" customFormat="1" ht="16.5" customHeight="1" thickBot="1">
      <c r="A118" s="1"/>
      <c r="B118" s="97"/>
      <c r="C118" s="97"/>
      <c r="D118" s="97"/>
      <c r="E118" s="97"/>
      <c r="F118" s="97"/>
      <c r="G118" s="97"/>
      <c r="H118" s="142"/>
      <c r="I118" s="142"/>
      <c r="J118" s="97"/>
      <c r="K118" s="97"/>
      <c r="L118" s="142"/>
      <c r="M118" s="142"/>
      <c r="N118" s="142"/>
      <c r="O118" s="142"/>
      <c r="P118" s="96"/>
      <c r="Q118" s="96"/>
      <c r="R118" s="96"/>
      <c r="S118" s="96"/>
      <c r="T118" s="96"/>
      <c r="U118" s="96"/>
      <c r="V118" s="96"/>
      <c r="W118" s="96"/>
      <c r="X118" s="97"/>
      <c r="Y118" s="98"/>
      <c r="Z118" s="98"/>
      <c r="AA118" s="98"/>
      <c r="AB118" s="143"/>
      <c r="AC118" s="143"/>
      <c r="AD118" s="143"/>
      <c r="AE118" s="143"/>
      <c r="AF118" s="143"/>
      <c r="AG118" s="140"/>
      <c r="AH118" s="140"/>
      <c r="AI118" s="140"/>
      <c r="AJ118" s="140"/>
      <c r="AK118" s="140"/>
      <c r="AL118" s="140"/>
      <c r="AM118" s="143"/>
      <c r="AN118" s="143"/>
      <c r="AO118" s="143"/>
      <c r="AP118" s="143"/>
      <c r="AQ118" s="143"/>
      <c r="AR118" s="97"/>
      <c r="AS118" s="97"/>
      <c r="AT118" s="97"/>
      <c r="AU118" s="97"/>
      <c r="AV118" s="97"/>
      <c r="AW118" s="97"/>
      <c r="AX118" s="97"/>
      <c r="AY118" s="97"/>
      <c r="AZ118" s="97"/>
      <c r="BA118" s="141"/>
      <c r="BB118" s="141"/>
      <c r="BC118" s="141"/>
      <c r="BD118" s="141"/>
      <c r="BE118" s="141"/>
      <c r="BF118" s="2"/>
      <c r="BG118" s="2"/>
      <c r="BH118" s="2"/>
      <c r="BI118" s="2"/>
      <c r="BJ118" s="2"/>
      <c r="BK118" s="2"/>
      <c r="BL118" s="2"/>
      <c r="BM118" s="2"/>
      <c r="BN118" s="146"/>
      <c r="BO118" s="146"/>
      <c r="BP118" s="146"/>
      <c r="BQ118" s="146"/>
      <c r="BR118" s="146"/>
      <c r="BS118" s="146"/>
      <c r="BT118" s="146"/>
      <c r="BU118" s="146"/>
      <c r="BV118" s="150"/>
      <c r="BW118" s="150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52"/>
      <c r="DT118" s="152"/>
      <c r="DU118" s="152"/>
      <c r="DV118" s="153"/>
      <c r="DW118" s="153"/>
      <c r="DX118" s="153"/>
      <c r="DY118" s="152"/>
      <c r="DZ118" s="152"/>
      <c r="EA118" s="152"/>
      <c r="EB118" s="22"/>
      <c r="EC118" s="22"/>
      <c r="ED118" s="21"/>
      <c r="EE118" s="21"/>
      <c r="EF118" s="21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</row>
    <row r="119" spans="1:152" s="18" customFormat="1" ht="16.5" customHeight="1" thickBot="1">
      <c r="A119" s="1"/>
      <c r="B119" s="1"/>
      <c r="C119" s="1"/>
      <c r="D119" s="241" t="s">
        <v>10</v>
      </c>
      <c r="E119" s="242"/>
      <c r="F119" s="243" t="s">
        <v>47</v>
      </c>
      <c r="G119" s="243"/>
      <c r="H119" s="243"/>
      <c r="I119" s="242"/>
      <c r="J119" s="243" t="s">
        <v>49</v>
      </c>
      <c r="K119" s="243"/>
      <c r="L119" s="243"/>
      <c r="M119" s="242"/>
      <c r="N119" s="264" t="s">
        <v>64</v>
      </c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2"/>
      <c r="BE119" s="264" t="s">
        <v>13</v>
      </c>
      <c r="BF119" s="243"/>
      <c r="BG119" s="243"/>
      <c r="BH119" s="243"/>
      <c r="BI119" s="242"/>
      <c r="BJ119" s="281"/>
      <c r="BK119" s="282"/>
      <c r="BL119" s="282"/>
      <c r="BM119" s="283"/>
      <c r="BN119" s="21"/>
      <c r="BO119" s="22"/>
      <c r="BT119" s="3"/>
      <c r="BU119" s="3"/>
      <c r="BV119" s="3"/>
      <c r="BW119" s="3"/>
      <c r="BX119" s="3"/>
      <c r="BY119" s="3"/>
      <c r="BZ119" s="3"/>
      <c r="CA119" s="32"/>
      <c r="CB119" s="3"/>
      <c r="CC119" s="3"/>
      <c r="CD119" s="3"/>
      <c r="CE119" s="3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22"/>
      <c r="DY119" s="22"/>
      <c r="DZ119" s="22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21"/>
      <c r="EQ119" s="21"/>
      <c r="ER119" s="21"/>
      <c r="ES119" s="21"/>
      <c r="ET119" s="21"/>
      <c r="EU119" s="21"/>
      <c r="EV119" s="21"/>
    </row>
    <row r="120" spans="4:152" s="1" customFormat="1" ht="16.5" customHeight="1">
      <c r="D120" s="239">
        <v>22</v>
      </c>
      <c r="E120" s="158"/>
      <c r="F120" s="156">
        <v>1</v>
      </c>
      <c r="G120" s="157"/>
      <c r="H120" s="157"/>
      <c r="I120" s="158"/>
      <c r="J120" s="259">
        <v>0.5243055555555556</v>
      </c>
      <c r="K120" s="259"/>
      <c r="L120" s="259"/>
      <c r="M120" s="260"/>
      <c r="N120" s="177">
        <f>IF(OR(' '!L29=0,' '!B29&lt;&gt;' '!L29),"",IF(OR(F95=1,F96=1,F97=1,F98=1),VLOOKUP(SMALL($F$95:$H$98,1),$F$95:$AF$98,7,0),IF(AND(' '!L29=' '!B29,' '!E29=1),L95,"1. Platz Gruppen C nicht eindeutig")))</f>
      </c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39" t="s">
        <v>16</v>
      </c>
      <c r="AJ120" s="178">
        <f>L102</f>
      </c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270"/>
      <c r="BE120" s="265"/>
      <c r="BF120" s="266"/>
      <c r="BG120" s="266"/>
      <c r="BH120" s="268"/>
      <c r="BI120" s="269"/>
      <c r="BJ120" s="250"/>
      <c r="BK120" s="251"/>
      <c r="BL120" s="251"/>
      <c r="BM120" s="252"/>
      <c r="BN120" s="15"/>
      <c r="BO120" s="18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2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4"/>
      <c r="EQ120" s="4"/>
      <c r="ER120" s="4"/>
      <c r="ES120" s="4"/>
      <c r="ET120" s="4"/>
      <c r="EU120" s="4"/>
      <c r="EV120" s="4"/>
    </row>
    <row r="121" spans="1:152" s="18" customFormat="1" ht="15.75" thickBot="1">
      <c r="A121" s="63"/>
      <c r="B121" s="63"/>
      <c r="C121" s="1"/>
      <c r="D121" s="240"/>
      <c r="E121" s="161"/>
      <c r="F121" s="159"/>
      <c r="G121" s="160"/>
      <c r="H121" s="160"/>
      <c r="I121" s="161"/>
      <c r="J121" s="261"/>
      <c r="K121" s="261"/>
      <c r="L121" s="261"/>
      <c r="M121" s="262"/>
      <c r="N121" s="271" t="s">
        <v>72</v>
      </c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64"/>
      <c r="AJ121" s="272" t="s">
        <v>84</v>
      </c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315"/>
      <c r="BE121" s="273"/>
      <c r="BF121" s="274"/>
      <c r="BG121" s="274"/>
      <c r="BH121" s="274"/>
      <c r="BI121" s="274"/>
      <c r="BJ121" s="247"/>
      <c r="BK121" s="248"/>
      <c r="BL121" s="248"/>
      <c r="BM121" s="249"/>
      <c r="BN121" s="15"/>
      <c r="BO121" s="1"/>
      <c r="BP121" s="1"/>
      <c r="BQ121" s="1"/>
      <c r="BR121" s="1"/>
      <c r="BS121" s="1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</row>
    <row r="122" spans="1:158" s="24" customFormat="1" ht="16.5" customHeight="1" thickBot="1">
      <c r="A122" s="1"/>
      <c r="B122" s="97"/>
      <c r="C122" s="97"/>
      <c r="D122" s="97"/>
      <c r="E122" s="97"/>
      <c r="F122" s="97"/>
      <c r="G122" s="97"/>
      <c r="H122" s="142"/>
      <c r="I122" s="142"/>
      <c r="J122" s="97"/>
      <c r="K122" s="97"/>
      <c r="L122" s="142"/>
      <c r="M122" s="142"/>
      <c r="N122" s="142"/>
      <c r="O122" s="142"/>
      <c r="P122" s="96"/>
      <c r="Q122" s="96"/>
      <c r="R122" s="96"/>
      <c r="S122" s="96"/>
      <c r="T122" s="96"/>
      <c r="U122" s="96"/>
      <c r="V122" s="96"/>
      <c r="W122" s="96"/>
      <c r="X122" s="97"/>
      <c r="Y122" s="98"/>
      <c r="Z122" s="98"/>
      <c r="AA122" s="98"/>
      <c r="AB122" s="143"/>
      <c r="AC122" s="143"/>
      <c r="AD122" s="143"/>
      <c r="AE122" s="143"/>
      <c r="AF122" s="143"/>
      <c r="AG122" s="140"/>
      <c r="AH122" s="140"/>
      <c r="AI122" s="140"/>
      <c r="AJ122" s="140"/>
      <c r="AK122" s="140"/>
      <c r="AL122" s="140"/>
      <c r="AM122" s="143"/>
      <c r="AN122" s="143"/>
      <c r="AO122" s="143"/>
      <c r="AP122" s="143"/>
      <c r="AQ122" s="143"/>
      <c r="AR122" s="97"/>
      <c r="AS122" s="97"/>
      <c r="AT122" s="97"/>
      <c r="AU122" s="97"/>
      <c r="AV122" s="97"/>
      <c r="AW122" s="97"/>
      <c r="AX122" s="97"/>
      <c r="AY122" s="97"/>
      <c r="AZ122" s="97"/>
      <c r="BA122" s="141"/>
      <c r="BB122" s="141"/>
      <c r="BC122" s="141"/>
      <c r="BD122" s="141"/>
      <c r="BE122" s="141"/>
      <c r="BF122" s="2"/>
      <c r="BG122" s="2"/>
      <c r="BH122" s="2"/>
      <c r="BI122" s="2"/>
      <c r="BJ122" s="2"/>
      <c r="BK122" s="2"/>
      <c r="BL122" s="2"/>
      <c r="BM122" s="2"/>
      <c r="BN122" s="146"/>
      <c r="BO122" s="146"/>
      <c r="BP122" s="146"/>
      <c r="BQ122" s="146"/>
      <c r="BR122" s="146"/>
      <c r="BS122" s="146"/>
      <c r="BT122" s="146"/>
      <c r="BU122" s="146"/>
      <c r="BV122" s="150"/>
      <c r="BW122" s="150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52"/>
      <c r="DT122" s="152"/>
      <c r="DU122" s="152"/>
      <c r="DV122" s="153"/>
      <c r="DW122" s="153"/>
      <c r="DX122" s="153"/>
      <c r="DY122" s="152"/>
      <c r="DZ122" s="152"/>
      <c r="EA122" s="152"/>
      <c r="EB122" s="22"/>
      <c r="EC122" s="22"/>
      <c r="ED122" s="21"/>
      <c r="EE122" s="21"/>
      <c r="EF122" s="21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</row>
    <row r="123" spans="1:152" s="18" customFormat="1" ht="16.5" customHeight="1" thickBot="1">
      <c r="A123" s="1"/>
      <c r="B123" s="1"/>
      <c r="C123" s="1"/>
      <c r="D123" s="241" t="s">
        <v>10</v>
      </c>
      <c r="E123" s="242"/>
      <c r="F123" s="243" t="s">
        <v>47</v>
      </c>
      <c r="G123" s="243"/>
      <c r="H123" s="243"/>
      <c r="I123" s="242"/>
      <c r="J123" s="243" t="s">
        <v>49</v>
      </c>
      <c r="K123" s="243"/>
      <c r="L123" s="243"/>
      <c r="M123" s="242"/>
      <c r="N123" s="264" t="s">
        <v>65</v>
      </c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2"/>
      <c r="BE123" s="264" t="s">
        <v>13</v>
      </c>
      <c r="BF123" s="243"/>
      <c r="BG123" s="243"/>
      <c r="BH123" s="243"/>
      <c r="BI123" s="242"/>
      <c r="BJ123" s="281"/>
      <c r="BK123" s="282"/>
      <c r="BL123" s="282"/>
      <c r="BM123" s="283"/>
      <c r="BN123" s="21"/>
      <c r="BO123" s="22"/>
      <c r="BT123" s="3"/>
      <c r="BU123" s="3"/>
      <c r="BV123" s="3"/>
      <c r="BW123" s="3"/>
      <c r="BX123" s="3"/>
      <c r="BY123" s="3"/>
      <c r="BZ123" s="3"/>
      <c r="CA123" s="32"/>
      <c r="CB123" s="3"/>
      <c r="CC123" s="3"/>
      <c r="CD123" s="3"/>
      <c r="CE123" s="3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22"/>
      <c r="DY123" s="22"/>
      <c r="DZ123" s="22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21"/>
      <c r="EQ123" s="21"/>
      <c r="ER123" s="21"/>
      <c r="ES123" s="21"/>
      <c r="ET123" s="21"/>
      <c r="EU123" s="21"/>
      <c r="EV123" s="21"/>
    </row>
    <row r="124" spans="4:152" s="1" customFormat="1" ht="16.5" customHeight="1">
      <c r="D124" s="239">
        <v>23</v>
      </c>
      <c r="E124" s="158"/>
      <c r="F124" s="156">
        <v>2</v>
      </c>
      <c r="G124" s="157"/>
      <c r="H124" s="157"/>
      <c r="I124" s="158"/>
      <c r="J124" s="259">
        <f>J120</f>
        <v>0.5243055555555556</v>
      </c>
      <c r="K124" s="259"/>
      <c r="L124" s="259"/>
      <c r="M124" s="260"/>
      <c r="N124" s="177">
        <f>IF(OR(' '!L19=0,' '!B19&lt;&gt;' '!L19),"",IF(OR(F79=1,F80=1,F81=1,F82=1),VLOOKUP(SMALL($F$79:$H$82,1),$F$79:$AF$82,7,0),IF(AND(' '!L19=' '!B19,' '!E19=1),L79,"1. Platz Gruppen B nicht eindeutig")))</f>
      </c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39" t="s">
        <v>16</v>
      </c>
      <c r="AJ124" s="178">
        <f>IF(OR(' '!L38=0,' '!B38&lt;&gt;' '!L38),"",IF(OR(F101=1,F102=1,F103=1),VLOOKUP(SMALL($F$101:$H$103,1),$F$101:$AF$103,7,0),IF(AND(' '!L38=' '!B38,' '!E38=1),L101,"1. Platz Gruppen 3. nicht eindeutig")))</f>
      </c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270"/>
      <c r="BE124" s="265"/>
      <c r="BF124" s="266"/>
      <c r="BG124" s="266"/>
      <c r="BH124" s="268"/>
      <c r="BI124" s="269"/>
      <c r="BJ124" s="250"/>
      <c r="BK124" s="251"/>
      <c r="BL124" s="251"/>
      <c r="BM124" s="252"/>
      <c r="BN124" s="15"/>
      <c r="BO124" s="18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2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4"/>
      <c r="EQ124" s="4"/>
      <c r="ER124" s="4"/>
      <c r="ES124" s="4"/>
      <c r="ET124" s="4"/>
      <c r="EU124" s="4"/>
      <c r="EV124" s="4"/>
    </row>
    <row r="125" spans="1:152" s="18" customFormat="1" ht="15.75" thickBot="1">
      <c r="A125" s="63"/>
      <c r="B125" s="63"/>
      <c r="C125" s="1"/>
      <c r="D125" s="240"/>
      <c r="E125" s="161"/>
      <c r="F125" s="159"/>
      <c r="G125" s="160"/>
      <c r="H125" s="160"/>
      <c r="I125" s="161"/>
      <c r="J125" s="261"/>
      <c r="K125" s="261"/>
      <c r="L125" s="261"/>
      <c r="M125" s="262"/>
      <c r="N125" s="271" t="s">
        <v>73</v>
      </c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64"/>
      <c r="AJ125" s="272" t="s">
        <v>85</v>
      </c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315"/>
      <c r="BE125" s="273"/>
      <c r="BF125" s="274"/>
      <c r="BG125" s="274"/>
      <c r="BH125" s="274"/>
      <c r="BI125" s="274"/>
      <c r="BJ125" s="247"/>
      <c r="BK125" s="248"/>
      <c r="BL125" s="248"/>
      <c r="BM125" s="249"/>
      <c r="BN125" s="15"/>
      <c r="BO125" s="1"/>
      <c r="BP125" s="1"/>
      <c r="BQ125" s="1"/>
      <c r="BR125" s="1"/>
      <c r="BS125" s="1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</row>
    <row r="126" spans="1:158" s="24" customFormat="1" ht="16.5" customHeight="1">
      <c r="A126" s="1"/>
      <c r="B126" s="97"/>
      <c r="C126" s="97"/>
      <c r="D126" s="97"/>
      <c r="E126" s="97"/>
      <c r="F126" s="97"/>
      <c r="G126" s="97"/>
      <c r="H126" s="142"/>
      <c r="I126" s="142"/>
      <c r="J126" s="97"/>
      <c r="K126" s="97"/>
      <c r="L126" s="142"/>
      <c r="M126" s="142"/>
      <c r="N126" s="142"/>
      <c r="O126" s="142"/>
      <c r="P126" s="96"/>
      <c r="Q126" s="96"/>
      <c r="R126" s="96"/>
      <c r="S126" s="96"/>
      <c r="T126" s="96"/>
      <c r="U126" s="96"/>
      <c r="V126" s="96"/>
      <c r="W126" s="96"/>
      <c r="X126" s="97"/>
      <c r="Y126" s="98"/>
      <c r="Z126" s="98"/>
      <c r="AA126" s="98"/>
      <c r="AB126" s="143"/>
      <c r="AC126" s="143"/>
      <c r="AD126" s="143"/>
      <c r="AE126" s="143"/>
      <c r="AF126" s="143"/>
      <c r="AG126" s="140"/>
      <c r="AH126" s="140"/>
      <c r="AI126" s="140"/>
      <c r="AJ126" s="140"/>
      <c r="AK126" s="140"/>
      <c r="AL126" s="140"/>
      <c r="AM126" s="143"/>
      <c r="AN126" s="143"/>
      <c r="AO126" s="143"/>
      <c r="AP126" s="143"/>
      <c r="AQ126" s="143"/>
      <c r="AR126" s="97"/>
      <c r="AS126" s="97"/>
      <c r="AT126" s="97"/>
      <c r="AU126" s="97"/>
      <c r="AV126" s="97"/>
      <c r="AW126" s="97"/>
      <c r="AX126" s="97"/>
      <c r="AY126" s="97"/>
      <c r="AZ126" s="97"/>
      <c r="BA126" s="141"/>
      <c r="BB126" s="141"/>
      <c r="BC126" s="141"/>
      <c r="BD126" s="141"/>
      <c r="BE126" s="141"/>
      <c r="BF126" s="2"/>
      <c r="BG126" s="2"/>
      <c r="BH126" s="2"/>
      <c r="BI126" s="2"/>
      <c r="BJ126" s="2"/>
      <c r="BK126" s="2"/>
      <c r="BL126" s="2"/>
      <c r="BM126" s="2"/>
      <c r="BN126" s="146"/>
      <c r="BO126" s="146"/>
      <c r="BP126" s="146"/>
      <c r="BQ126" s="146"/>
      <c r="BR126" s="146"/>
      <c r="BS126" s="146"/>
      <c r="BT126" s="146"/>
      <c r="BU126" s="146"/>
      <c r="BV126" s="150"/>
      <c r="BW126" s="150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52"/>
      <c r="DT126" s="152"/>
      <c r="DU126" s="152"/>
      <c r="DV126" s="153"/>
      <c r="DW126" s="153"/>
      <c r="DX126" s="153"/>
      <c r="DY126" s="152"/>
      <c r="DZ126" s="152"/>
      <c r="EA126" s="152"/>
      <c r="EB126" s="22"/>
      <c r="EC126" s="22"/>
      <c r="ED126" s="21"/>
      <c r="EE126" s="21"/>
      <c r="EF126" s="21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</row>
    <row r="127" spans="1:158" s="24" customFormat="1" ht="16.5" customHeight="1" thickBot="1">
      <c r="A127" s="1"/>
      <c r="B127" s="97"/>
      <c r="C127" s="97"/>
      <c r="D127" s="97"/>
      <c r="E127" s="97"/>
      <c r="F127" s="97"/>
      <c r="G127" s="97"/>
      <c r="H127" s="142"/>
      <c r="I127" s="142"/>
      <c r="J127" s="97"/>
      <c r="K127" s="97"/>
      <c r="L127" s="142"/>
      <c r="M127" s="142"/>
      <c r="N127" s="142"/>
      <c r="O127" s="142"/>
      <c r="P127" s="96"/>
      <c r="Q127" s="96"/>
      <c r="R127" s="96"/>
      <c r="S127" s="96"/>
      <c r="T127" s="96"/>
      <c r="U127" s="96"/>
      <c r="V127" s="96"/>
      <c r="W127" s="96"/>
      <c r="X127" s="97"/>
      <c r="Y127" s="98"/>
      <c r="Z127" s="98"/>
      <c r="AA127" s="98"/>
      <c r="AB127" s="143"/>
      <c r="AC127" s="143"/>
      <c r="AD127" s="143"/>
      <c r="AE127" s="143"/>
      <c r="AF127" s="143"/>
      <c r="AG127" s="140"/>
      <c r="AH127" s="140"/>
      <c r="AI127" s="140"/>
      <c r="AJ127" s="140"/>
      <c r="AK127" s="140"/>
      <c r="AL127" s="140"/>
      <c r="AM127" s="143"/>
      <c r="AN127" s="143"/>
      <c r="AO127" s="143"/>
      <c r="AP127" s="143"/>
      <c r="AQ127" s="143"/>
      <c r="AR127" s="97"/>
      <c r="AS127" s="97"/>
      <c r="AT127" s="97"/>
      <c r="AU127" s="97"/>
      <c r="AV127" s="97"/>
      <c r="AW127" s="97"/>
      <c r="AX127" s="97"/>
      <c r="AY127" s="97"/>
      <c r="AZ127" s="97"/>
      <c r="BA127" s="141"/>
      <c r="BB127" s="141"/>
      <c r="BC127" s="141"/>
      <c r="BD127" s="141"/>
      <c r="BE127" s="141"/>
      <c r="BF127" s="2"/>
      <c r="BG127" s="2"/>
      <c r="BH127" s="2"/>
      <c r="BI127" s="2"/>
      <c r="BJ127" s="2"/>
      <c r="BK127" s="2"/>
      <c r="BL127" s="2"/>
      <c r="BM127" s="2"/>
      <c r="BN127" s="146"/>
      <c r="BO127" s="146"/>
      <c r="BP127" s="146"/>
      <c r="BQ127" s="146"/>
      <c r="BR127" s="146"/>
      <c r="BS127" s="146"/>
      <c r="BT127" s="146"/>
      <c r="BU127" s="146"/>
      <c r="BV127" s="150"/>
      <c r="BW127" s="150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2"/>
      <c r="DR127" s="152"/>
      <c r="DS127" s="52"/>
      <c r="DT127" s="152"/>
      <c r="DU127" s="152"/>
      <c r="DV127" s="153"/>
      <c r="DW127" s="153"/>
      <c r="DX127" s="153"/>
      <c r="DY127" s="152"/>
      <c r="DZ127" s="152"/>
      <c r="EA127" s="152"/>
      <c r="EB127" s="22"/>
      <c r="EC127" s="22"/>
      <c r="ED127" s="21"/>
      <c r="EE127" s="21"/>
      <c r="EF127" s="21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</row>
    <row r="128" spans="1:152" s="18" customFormat="1" ht="16.5" customHeight="1" thickBot="1">
      <c r="A128" s="1"/>
      <c r="B128" s="1"/>
      <c r="C128" s="1"/>
      <c r="D128" s="310" t="s">
        <v>10</v>
      </c>
      <c r="E128" s="277"/>
      <c r="F128" s="276" t="s">
        <v>47</v>
      </c>
      <c r="G128" s="276"/>
      <c r="H128" s="276"/>
      <c r="I128" s="277"/>
      <c r="J128" s="276" t="s">
        <v>49</v>
      </c>
      <c r="K128" s="276"/>
      <c r="L128" s="276"/>
      <c r="M128" s="277"/>
      <c r="N128" s="275" t="s">
        <v>66</v>
      </c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6"/>
      <c r="BA128" s="276"/>
      <c r="BB128" s="276"/>
      <c r="BC128" s="276"/>
      <c r="BD128" s="277"/>
      <c r="BE128" s="275" t="s">
        <v>13</v>
      </c>
      <c r="BF128" s="276"/>
      <c r="BG128" s="276"/>
      <c r="BH128" s="276"/>
      <c r="BI128" s="277"/>
      <c r="BJ128" s="278"/>
      <c r="BK128" s="279"/>
      <c r="BL128" s="279"/>
      <c r="BM128" s="280"/>
      <c r="BN128" s="21"/>
      <c r="BO128" s="22"/>
      <c r="BT128" s="3"/>
      <c r="BU128" s="3"/>
      <c r="BV128" s="3"/>
      <c r="BW128" s="3"/>
      <c r="BX128" s="3"/>
      <c r="BY128" s="3"/>
      <c r="BZ128" s="3"/>
      <c r="CA128" s="32"/>
      <c r="CB128" s="3"/>
      <c r="CC128" s="3"/>
      <c r="CD128" s="3"/>
      <c r="CE128" s="3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22"/>
      <c r="DY128" s="22"/>
      <c r="DZ128" s="22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21"/>
      <c r="EQ128" s="21"/>
      <c r="ER128" s="21"/>
      <c r="ES128" s="21"/>
      <c r="ET128" s="21"/>
      <c r="EU128" s="21"/>
      <c r="EV128" s="21"/>
    </row>
    <row r="129" spans="4:152" s="1" customFormat="1" ht="16.5" customHeight="1">
      <c r="D129" s="239">
        <v>24</v>
      </c>
      <c r="E129" s="158"/>
      <c r="F129" s="156">
        <v>1</v>
      </c>
      <c r="G129" s="157"/>
      <c r="H129" s="157"/>
      <c r="I129" s="158"/>
      <c r="J129" s="259">
        <v>0.545138888888889</v>
      </c>
      <c r="K129" s="259"/>
      <c r="L129" s="259"/>
      <c r="M129" s="260"/>
      <c r="N129" s="177" t="str">
        <f>IF(ISBLANK(BH112)," ",IF(BH112&lt;BE112,N112,IF(BH112&gt;BE112,AJ112,"nicht eindeutig")))</f>
        <v> </v>
      </c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39" t="s">
        <v>16</v>
      </c>
      <c r="AJ129" s="178" t="str">
        <f>IF(ISBLANK(BH116)," ",IF(BH116&lt;BE116,N116,IF(BH116&gt;BE116,AJ116,"nicht eindeutig")))</f>
        <v> </v>
      </c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270"/>
      <c r="BE129" s="265"/>
      <c r="BF129" s="266"/>
      <c r="BG129" s="266"/>
      <c r="BH129" s="268"/>
      <c r="BI129" s="269"/>
      <c r="BJ129" s="250"/>
      <c r="BK129" s="251"/>
      <c r="BL129" s="251"/>
      <c r="BM129" s="252"/>
      <c r="BN129" s="15"/>
      <c r="BO129" s="18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2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4"/>
      <c r="EQ129" s="4"/>
      <c r="ER129" s="4"/>
      <c r="ES129" s="4"/>
      <c r="ET129" s="4"/>
      <c r="EU129" s="4"/>
      <c r="EV129" s="4"/>
    </row>
    <row r="130" spans="1:152" s="18" customFormat="1" ht="15.75" thickBot="1">
      <c r="A130" s="63"/>
      <c r="B130" s="63"/>
      <c r="C130" s="1"/>
      <c r="D130" s="240"/>
      <c r="E130" s="161"/>
      <c r="F130" s="159"/>
      <c r="G130" s="160"/>
      <c r="H130" s="160"/>
      <c r="I130" s="161"/>
      <c r="J130" s="261"/>
      <c r="K130" s="261"/>
      <c r="L130" s="261"/>
      <c r="M130" s="262"/>
      <c r="N130" s="271" t="s">
        <v>74</v>
      </c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64"/>
      <c r="AJ130" s="272" t="s">
        <v>75</v>
      </c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315"/>
      <c r="BE130" s="273"/>
      <c r="BF130" s="274"/>
      <c r="BG130" s="274"/>
      <c r="BH130" s="274"/>
      <c r="BI130" s="274"/>
      <c r="BJ130" s="247"/>
      <c r="BK130" s="248"/>
      <c r="BL130" s="248"/>
      <c r="BM130" s="249"/>
      <c r="BN130" s="15"/>
      <c r="BO130" s="1"/>
      <c r="BP130" s="1"/>
      <c r="BQ130" s="1"/>
      <c r="BR130" s="1"/>
      <c r="BS130" s="1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</row>
    <row r="131" spans="1:152" s="18" customFormat="1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4"/>
      <c r="BK131" s="14"/>
      <c r="BL131" s="14"/>
      <c r="BM131" s="14"/>
      <c r="BN131" s="15"/>
      <c r="BO131" s="1"/>
      <c r="BP131" s="1"/>
      <c r="BQ131" s="1"/>
      <c r="BR131" s="1"/>
      <c r="BS131" s="1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4"/>
      <c r="DY131" s="4"/>
      <c r="DZ131" s="4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</row>
    <row r="132" spans="1:159" s="18" customFormat="1" ht="16.5" customHeight="1" thickBot="1">
      <c r="A132" s="1"/>
      <c r="B132" s="1"/>
      <c r="C132" s="1"/>
      <c r="D132" s="310" t="s">
        <v>10</v>
      </c>
      <c r="E132" s="277"/>
      <c r="F132" s="276" t="s">
        <v>47</v>
      </c>
      <c r="G132" s="276"/>
      <c r="H132" s="276"/>
      <c r="I132" s="277"/>
      <c r="J132" s="276" t="s">
        <v>49</v>
      </c>
      <c r="K132" s="276"/>
      <c r="L132" s="276"/>
      <c r="M132" s="277"/>
      <c r="N132" s="275" t="s">
        <v>67</v>
      </c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7"/>
      <c r="BE132" s="275" t="s">
        <v>13</v>
      </c>
      <c r="BF132" s="276"/>
      <c r="BG132" s="276"/>
      <c r="BH132" s="276"/>
      <c r="BI132" s="277"/>
      <c r="BJ132" s="278"/>
      <c r="BK132" s="279"/>
      <c r="BL132" s="279"/>
      <c r="BM132" s="280"/>
      <c r="BN132" s="15"/>
      <c r="BO132" s="1"/>
      <c r="BP132" s="1"/>
      <c r="BQ132" s="1"/>
      <c r="BR132" s="1"/>
      <c r="BS132" s="1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3"/>
      <c r="DY132" s="3"/>
      <c r="DZ132" s="3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22"/>
      <c r="EX132" s="22"/>
      <c r="EY132" s="22"/>
      <c r="EZ132" s="22"/>
      <c r="FA132" s="22"/>
      <c r="FB132" s="22"/>
      <c r="FC132" s="22"/>
    </row>
    <row r="133" spans="4:159" s="1" customFormat="1" ht="15">
      <c r="D133" s="239">
        <v>25</v>
      </c>
      <c r="E133" s="158"/>
      <c r="F133" s="156">
        <v>2</v>
      </c>
      <c r="G133" s="157"/>
      <c r="H133" s="157"/>
      <c r="I133" s="158"/>
      <c r="J133" s="259">
        <f>J129</f>
        <v>0.545138888888889</v>
      </c>
      <c r="K133" s="259"/>
      <c r="L133" s="259"/>
      <c r="M133" s="260"/>
      <c r="N133" s="177" t="str">
        <f>IF(ISBLANK(BH120)," ",IF(BH120&lt;BE120,N120,IF(BH120&gt;BE120,AJ120,"nicht eindeutig")))</f>
        <v> </v>
      </c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39" t="s">
        <v>16</v>
      </c>
      <c r="AJ133" s="178" t="str">
        <f>IF(ISBLANK(BH124)," ",IF(BH124&lt;BE124,N124,IF(BH124&gt;BE124,AJ124,"nicht eindeutig")))</f>
        <v> </v>
      </c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270"/>
      <c r="BE133" s="265"/>
      <c r="BF133" s="266"/>
      <c r="BG133" s="266"/>
      <c r="BH133" s="268"/>
      <c r="BI133" s="269"/>
      <c r="BJ133" s="250"/>
      <c r="BK133" s="251"/>
      <c r="BL133" s="251"/>
      <c r="BM133" s="252"/>
      <c r="BN133" s="15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4"/>
      <c r="EX133" s="4"/>
      <c r="EY133" s="4"/>
      <c r="EZ133" s="4"/>
      <c r="FA133" s="4"/>
      <c r="FB133" s="4"/>
      <c r="FC133" s="4"/>
    </row>
    <row r="134" spans="1:159" s="1" customFormat="1" ht="15.75" thickBot="1">
      <c r="A134" s="63"/>
      <c r="B134" s="63"/>
      <c r="D134" s="240"/>
      <c r="E134" s="161"/>
      <c r="F134" s="159"/>
      <c r="G134" s="160"/>
      <c r="H134" s="160"/>
      <c r="I134" s="161"/>
      <c r="J134" s="261"/>
      <c r="K134" s="261"/>
      <c r="L134" s="261"/>
      <c r="M134" s="262"/>
      <c r="N134" s="271" t="s">
        <v>76</v>
      </c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64"/>
      <c r="AJ134" s="272" t="s">
        <v>77</v>
      </c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315"/>
      <c r="BE134" s="273"/>
      <c r="BF134" s="274"/>
      <c r="BG134" s="274"/>
      <c r="BH134" s="274"/>
      <c r="BI134" s="274"/>
      <c r="BJ134" s="247"/>
      <c r="BK134" s="248"/>
      <c r="BL134" s="248"/>
      <c r="BM134" s="249"/>
      <c r="BN134" s="15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3"/>
      <c r="EX134" s="3"/>
      <c r="EY134" s="3"/>
      <c r="EZ134" s="3"/>
      <c r="FA134" s="3"/>
      <c r="FB134" s="3"/>
      <c r="FC134" s="3"/>
    </row>
    <row r="135" spans="1:158" s="24" customFormat="1" ht="16.5" customHeight="1">
      <c r="A135" s="1"/>
      <c r="B135" s="97"/>
      <c r="C135" s="97"/>
      <c r="D135" s="97"/>
      <c r="E135" s="97"/>
      <c r="F135" s="97"/>
      <c r="G135" s="97"/>
      <c r="H135" s="142"/>
      <c r="I135" s="142"/>
      <c r="J135" s="97"/>
      <c r="K135" s="97"/>
      <c r="L135" s="142"/>
      <c r="M135" s="142"/>
      <c r="N135" s="142"/>
      <c r="O135" s="142"/>
      <c r="P135" s="96"/>
      <c r="Q135" s="96"/>
      <c r="R135" s="96"/>
      <c r="S135" s="96"/>
      <c r="T135" s="96"/>
      <c r="U135" s="96"/>
      <c r="V135" s="96"/>
      <c r="W135" s="96"/>
      <c r="X135" s="97"/>
      <c r="Y135" s="98"/>
      <c r="Z135" s="98"/>
      <c r="AA135" s="98"/>
      <c r="AB135" s="143"/>
      <c r="AC135" s="143"/>
      <c r="AD135" s="143"/>
      <c r="AE135" s="143"/>
      <c r="AF135" s="143"/>
      <c r="AG135" s="140"/>
      <c r="AH135" s="140"/>
      <c r="AI135" s="140"/>
      <c r="AJ135" s="140"/>
      <c r="AK135" s="140"/>
      <c r="AL135" s="140"/>
      <c r="AM135" s="143"/>
      <c r="AN135" s="143"/>
      <c r="AO135" s="143"/>
      <c r="AP135" s="143"/>
      <c r="AQ135" s="143"/>
      <c r="AR135" s="97"/>
      <c r="AS135" s="97"/>
      <c r="AT135" s="97"/>
      <c r="AU135" s="97"/>
      <c r="AV135" s="97"/>
      <c r="AW135" s="97"/>
      <c r="AX135" s="97"/>
      <c r="AY135" s="97"/>
      <c r="AZ135" s="97"/>
      <c r="BA135" s="141"/>
      <c r="BB135" s="141"/>
      <c r="BC135" s="141"/>
      <c r="BD135" s="141"/>
      <c r="BE135" s="141"/>
      <c r="BF135" s="2"/>
      <c r="BG135" s="2"/>
      <c r="BH135" s="2"/>
      <c r="BI135" s="2"/>
      <c r="BJ135" s="2"/>
      <c r="BK135" s="2"/>
      <c r="BL135" s="2"/>
      <c r="BM135" s="2"/>
      <c r="BN135" s="146"/>
      <c r="BO135" s="146"/>
      <c r="BP135" s="146"/>
      <c r="BQ135" s="146"/>
      <c r="BR135" s="146"/>
      <c r="BS135" s="146"/>
      <c r="BT135" s="146"/>
      <c r="BU135" s="146"/>
      <c r="BV135" s="150"/>
      <c r="BW135" s="150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52"/>
      <c r="DT135" s="152"/>
      <c r="DU135" s="152"/>
      <c r="DV135" s="153"/>
      <c r="DW135" s="153"/>
      <c r="DX135" s="153"/>
      <c r="DY135" s="152"/>
      <c r="DZ135" s="152"/>
      <c r="EA135" s="152"/>
      <c r="EB135" s="22"/>
      <c r="EC135" s="22"/>
      <c r="ED135" s="21"/>
      <c r="EE135" s="21"/>
      <c r="EF135" s="21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</row>
    <row r="136" spans="1:152" s="18" customFormat="1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4"/>
      <c r="BK136" s="14"/>
      <c r="BL136" s="14"/>
      <c r="BM136" s="14"/>
      <c r="BN136" s="15"/>
      <c r="BO136" s="1"/>
      <c r="BP136" s="1"/>
      <c r="BQ136" s="1"/>
      <c r="BR136" s="1"/>
      <c r="BS136" s="1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4"/>
      <c r="DY136" s="4"/>
      <c r="DZ136" s="4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</row>
    <row r="137" spans="1:159" s="18" customFormat="1" ht="16.5" customHeight="1" thickBot="1">
      <c r="A137" s="1"/>
      <c r="B137" s="1"/>
      <c r="C137" s="1"/>
      <c r="D137" s="220" t="s">
        <v>27</v>
      </c>
      <c r="E137" s="163"/>
      <c r="F137" s="162" t="s">
        <v>47</v>
      </c>
      <c r="G137" s="162"/>
      <c r="H137" s="162"/>
      <c r="I137" s="163"/>
      <c r="J137" s="162" t="s">
        <v>49</v>
      </c>
      <c r="K137" s="162"/>
      <c r="L137" s="162"/>
      <c r="M137" s="163"/>
      <c r="N137" s="414" t="s">
        <v>28</v>
      </c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3"/>
      <c r="BE137" s="414" t="s">
        <v>13</v>
      </c>
      <c r="BF137" s="162"/>
      <c r="BG137" s="162"/>
      <c r="BH137" s="162"/>
      <c r="BI137" s="163"/>
      <c r="BJ137" s="256"/>
      <c r="BK137" s="257"/>
      <c r="BL137" s="257"/>
      <c r="BM137" s="258"/>
      <c r="BN137" s="15"/>
      <c r="BO137" s="1"/>
      <c r="BP137" s="1"/>
      <c r="BQ137" s="1"/>
      <c r="BR137" s="1"/>
      <c r="BS137" s="1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3"/>
      <c r="DY137" s="3"/>
      <c r="DZ137" s="3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22"/>
      <c r="EX137" s="22"/>
      <c r="EY137" s="22"/>
      <c r="EZ137" s="22"/>
      <c r="FA137" s="22"/>
      <c r="FB137" s="22"/>
      <c r="FC137" s="22"/>
    </row>
    <row r="138" spans="4:159" s="1" customFormat="1" ht="15">
      <c r="D138" s="239">
        <v>26</v>
      </c>
      <c r="E138" s="158"/>
      <c r="F138" s="156">
        <v>1</v>
      </c>
      <c r="G138" s="157"/>
      <c r="H138" s="157"/>
      <c r="I138" s="158"/>
      <c r="J138" s="259">
        <v>0.5659722222222222</v>
      </c>
      <c r="K138" s="259"/>
      <c r="L138" s="259"/>
      <c r="M138" s="260"/>
      <c r="N138" s="177" t="str">
        <f>IF(ISBLANK(BE129)," ",IF(BE129&lt;BH129,N129,IF(BH112&gt;BH129,AJ129,"nicht eindeutig")))</f>
        <v> </v>
      </c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39" t="s">
        <v>16</v>
      </c>
      <c r="AJ138" s="178" t="str">
        <f>IF(ISBLANK(BE133)," ",IF(BE133&lt;BH133,N133,IF(BH112&gt;BH133,AJ133,"nicht eindeutig")))</f>
        <v> </v>
      </c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270"/>
      <c r="BE138" s="265"/>
      <c r="BF138" s="266"/>
      <c r="BG138" s="266"/>
      <c r="BH138" s="268"/>
      <c r="BI138" s="269"/>
      <c r="BJ138" s="250"/>
      <c r="BK138" s="251"/>
      <c r="BL138" s="251"/>
      <c r="BM138" s="252"/>
      <c r="BN138" s="15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4"/>
      <c r="EX138" s="4"/>
      <c r="EY138" s="4"/>
      <c r="EZ138" s="4"/>
      <c r="FA138" s="4"/>
      <c r="FB138" s="4"/>
      <c r="FC138" s="4"/>
    </row>
    <row r="139" spans="1:159" s="1" customFormat="1" ht="15.75" thickBot="1">
      <c r="A139" s="63"/>
      <c r="B139" s="63"/>
      <c r="D139" s="240"/>
      <c r="E139" s="161"/>
      <c r="F139" s="159"/>
      <c r="G139" s="160"/>
      <c r="H139" s="160"/>
      <c r="I139" s="161"/>
      <c r="J139" s="261"/>
      <c r="K139" s="261"/>
      <c r="L139" s="261"/>
      <c r="M139" s="262"/>
      <c r="N139" s="271" t="s">
        <v>80</v>
      </c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64"/>
      <c r="AJ139" s="272" t="s">
        <v>81</v>
      </c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315"/>
      <c r="BE139" s="273"/>
      <c r="BF139" s="274"/>
      <c r="BG139" s="274"/>
      <c r="BH139" s="274"/>
      <c r="BI139" s="274"/>
      <c r="BJ139" s="247"/>
      <c r="BK139" s="248"/>
      <c r="BL139" s="248"/>
      <c r="BM139" s="249"/>
      <c r="BN139" s="15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3"/>
      <c r="EX139" s="3"/>
      <c r="EY139" s="3"/>
      <c r="EZ139" s="3"/>
      <c r="FA139" s="3"/>
      <c r="FB139" s="3"/>
      <c r="FC139" s="3"/>
    </row>
    <row r="140" spans="62:159" s="1" customFormat="1" ht="15" customHeight="1" thickBot="1">
      <c r="BJ140" s="14"/>
      <c r="BK140" s="14"/>
      <c r="BL140" s="14"/>
      <c r="BM140" s="14"/>
      <c r="BN140" s="15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</row>
    <row r="141" spans="4:159" s="1" customFormat="1" ht="16.5" customHeight="1" thickBot="1">
      <c r="D141" s="318" t="s">
        <v>10</v>
      </c>
      <c r="E141" s="319"/>
      <c r="F141" s="320" t="s">
        <v>47</v>
      </c>
      <c r="G141" s="320"/>
      <c r="H141" s="320"/>
      <c r="I141" s="319"/>
      <c r="J141" s="320" t="s">
        <v>49</v>
      </c>
      <c r="K141" s="320"/>
      <c r="L141" s="320"/>
      <c r="M141" s="319"/>
      <c r="N141" s="427" t="s">
        <v>29</v>
      </c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19"/>
      <c r="BE141" s="427" t="s">
        <v>13</v>
      </c>
      <c r="BF141" s="320"/>
      <c r="BG141" s="320"/>
      <c r="BH141" s="320"/>
      <c r="BI141" s="319"/>
      <c r="BJ141" s="253"/>
      <c r="BK141" s="254"/>
      <c r="BL141" s="254"/>
      <c r="BM141" s="255"/>
      <c r="BN141" s="15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</row>
    <row r="142" spans="4:159" s="1" customFormat="1" ht="15" customHeight="1">
      <c r="D142" s="239">
        <v>27</v>
      </c>
      <c r="E142" s="158"/>
      <c r="F142" s="156">
        <v>1</v>
      </c>
      <c r="G142" s="157"/>
      <c r="H142" s="157"/>
      <c r="I142" s="158"/>
      <c r="J142" s="259">
        <v>0.5659722222222222</v>
      </c>
      <c r="K142" s="259"/>
      <c r="L142" s="259"/>
      <c r="M142" s="260"/>
      <c r="N142" s="177" t="str">
        <f>IF(ISBLANK(BH129)," ",IF(BH129&lt;BE129,N129,IF(BH112&gt;BE129,AJ129,"nicht eindeutig")))</f>
        <v> </v>
      </c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39" t="s">
        <v>16</v>
      </c>
      <c r="AJ142" s="178" t="str">
        <f>IF(ISBLANK(BH133)," ",IF(BH133&lt;BE133,N133,IF(BH112&gt;BE133,AJ133,"nicht eindeutig")))</f>
        <v> </v>
      </c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270"/>
      <c r="BE142" s="265"/>
      <c r="BF142" s="266"/>
      <c r="BG142" s="266"/>
      <c r="BH142" s="268"/>
      <c r="BI142" s="269"/>
      <c r="BJ142" s="250"/>
      <c r="BK142" s="251"/>
      <c r="BL142" s="251"/>
      <c r="BM142" s="252"/>
      <c r="BN142" s="15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</row>
    <row r="143" spans="4:159" s="1" customFormat="1" ht="15" customHeight="1" thickBot="1">
      <c r="D143" s="240"/>
      <c r="E143" s="161"/>
      <c r="F143" s="159"/>
      <c r="G143" s="160"/>
      <c r="H143" s="160"/>
      <c r="I143" s="161"/>
      <c r="J143" s="261"/>
      <c r="K143" s="261"/>
      <c r="L143" s="261"/>
      <c r="M143" s="262"/>
      <c r="N143" s="271" t="s">
        <v>78</v>
      </c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64"/>
      <c r="AJ143" s="272" t="s">
        <v>79</v>
      </c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315"/>
      <c r="BE143" s="273"/>
      <c r="BF143" s="274"/>
      <c r="BG143" s="274"/>
      <c r="BH143" s="274"/>
      <c r="BI143" s="339"/>
      <c r="BJ143" s="247"/>
      <c r="BK143" s="248"/>
      <c r="BL143" s="248"/>
      <c r="BM143" s="249"/>
      <c r="BN143" s="15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</row>
    <row r="144" spans="51:155" s="1" customFormat="1" ht="15" customHeight="1"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15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</row>
    <row r="145" spans="2:155" s="1" customFormat="1" ht="15" customHeight="1">
      <c r="B145" s="28" t="s">
        <v>30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9"/>
      <c r="AW145" s="29"/>
      <c r="AX145" s="29"/>
      <c r="AY145" s="29"/>
      <c r="AZ145" s="29"/>
      <c r="BA145" s="29"/>
      <c r="BB145" s="80"/>
      <c r="BC145" s="80"/>
      <c r="BD145" s="80"/>
      <c r="BE145" s="80"/>
      <c r="BF145" s="80"/>
      <c r="BG145" s="80"/>
      <c r="BH145" s="80"/>
      <c r="BI145" s="80"/>
      <c r="BJ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</row>
    <row r="146" spans="1:155" s="1" customFormat="1" ht="15" customHeight="1" thickBo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V146" s="2"/>
      <c r="AW146" s="2"/>
      <c r="AX146" s="2"/>
      <c r="AY146" s="2"/>
      <c r="AZ146" s="2"/>
      <c r="BA146" s="81"/>
      <c r="BB146" s="82"/>
      <c r="BC146" s="82"/>
      <c r="BD146" s="82"/>
      <c r="BE146" s="82"/>
      <c r="BF146" s="82"/>
      <c r="BG146" s="82"/>
      <c r="BH146" s="82"/>
      <c r="BI146" s="82"/>
      <c r="BJ146" s="3"/>
      <c r="BL146" s="45"/>
      <c r="BM146" s="45"/>
      <c r="BN146" s="45"/>
      <c r="BO146" s="59"/>
      <c r="BP146" s="5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</row>
    <row r="147" spans="10:155" s="1" customFormat="1" ht="16.5" customHeight="1" thickBot="1">
      <c r="J147" s="425" t="s">
        <v>31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426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6"/>
      <c r="BK147" s="45"/>
      <c r="BL147" s="3"/>
      <c r="BM147" s="3"/>
      <c r="BN147" s="3"/>
      <c r="BO147" s="3"/>
      <c r="BP147" s="27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</row>
    <row r="148" spans="10:155" s="1" customFormat="1" ht="16.5" customHeight="1">
      <c r="J148" s="428" t="s">
        <v>32</v>
      </c>
      <c r="K148" s="429"/>
      <c r="L148" s="422" t="str">
        <f>IF(ISBLANK($BH$142)," ",IF($BE$142&gt;$BH$142,$N$142,IF($BH$142&gt;$BE$142,$AJ$142)))</f>
        <v> </v>
      </c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3"/>
      <c r="AC148" s="423"/>
      <c r="AD148" s="423"/>
      <c r="AE148" s="423"/>
      <c r="AF148" s="424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83"/>
      <c r="BK148" s="65"/>
      <c r="BL148" s="25"/>
      <c r="BM148" s="25"/>
      <c r="BN148" s="25"/>
      <c r="BO148" s="25"/>
      <c r="BP148" s="25"/>
      <c r="BQ148" s="25"/>
      <c r="BR148" s="25"/>
      <c r="BS148" s="26"/>
      <c r="BT148" s="27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</row>
    <row r="149" spans="10:155" s="1" customFormat="1" ht="16.5" customHeight="1">
      <c r="J149" s="215" t="s">
        <v>33</v>
      </c>
      <c r="K149" s="216"/>
      <c r="L149" s="357" t="str">
        <f>IF(ISBLANK($BH$142)," ",IF($BE$142&lt;$BH$142,$N$142,IF($BH$142&lt;$BE$142,$AJ$142)))</f>
        <v> </v>
      </c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358"/>
      <c r="AE149" s="358"/>
      <c r="AF149" s="359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83"/>
      <c r="BK149" s="65"/>
      <c r="BL149" s="25"/>
      <c r="BM149" s="25"/>
      <c r="BN149" s="25"/>
      <c r="BO149" s="25"/>
      <c r="BP149" s="25"/>
      <c r="BQ149" s="25"/>
      <c r="BR149" s="25"/>
      <c r="BS149" s="26"/>
      <c r="BT149" s="27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</row>
    <row r="150" spans="10:155" s="1" customFormat="1" ht="16.5" customHeight="1">
      <c r="J150" s="215" t="s">
        <v>34</v>
      </c>
      <c r="K150" s="216"/>
      <c r="L150" s="357" t="str">
        <f>IF(ISBLANK($BH$138)," ",IF($BE$138&gt;$BH$138,$N$138,IF($BH$138&gt;$BE$138,$AJ$138)))</f>
        <v> </v>
      </c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58"/>
      <c r="AC150" s="358"/>
      <c r="AD150" s="358"/>
      <c r="AE150" s="358"/>
      <c r="AF150" s="359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83"/>
      <c r="BK150" s="65"/>
      <c r="BL150" s="25"/>
      <c r="BM150" s="25"/>
      <c r="BN150" s="25"/>
      <c r="BO150" s="25"/>
      <c r="BP150" s="25"/>
      <c r="BQ150" s="25"/>
      <c r="BR150" s="25"/>
      <c r="BS150" s="26"/>
      <c r="BT150" s="27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</row>
    <row r="151" spans="10:155" s="1" customFormat="1" ht="16.5" customHeight="1">
      <c r="J151" s="215" t="s">
        <v>35</v>
      </c>
      <c r="K151" s="216"/>
      <c r="L151" s="357" t="str">
        <f>IF(ISBLANK($BH$138)," ",IF($BE$138&lt;$BH$138,$N$138,IF($BH$138&lt;$BE$138,$AJ$138)))</f>
        <v> </v>
      </c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9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83"/>
      <c r="BK151" s="65"/>
      <c r="BL151" s="25"/>
      <c r="BM151" s="25"/>
      <c r="BN151" s="25"/>
      <c r="BO151" s="25"/>
      <c r="BP151" s="25"/>
      <c r="BQ151" s="25"/>
      <c r="BR151" s="25"/>
      <c r="BS151" s="26"/>
      <c r="BT151" s="27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</row>
    <row r="152" spans="10:155" s="1" customFormat="1" ht="16.5" customHeight="1">
      <c r="J152" s="168" t="s">
        <v>36</v>
      </c>
      <c r="K152" s="169"/>
      <c r="L152" s="164" t="str">
        <f>IF(ISBLANK($BH$112)," ",IF($BE$112&lt;$BH$112,$N$112,IF($BH$112&lt;$BE$112,$AJ$112)))</f>
        <v> </v>
      </c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5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83"/>
      <c r="BK152" s="65"/>
      <c r="BL152" s="25"/>
      <c r="BM152" s="25"/>
      <c r="BN152" s="25"/>
      <c r="BO152" s="25"/>
      <c r="BP152" s="25"/>
      <c r="BQ152" s="25"/>
      <c r="BR152" s="25"/>
      <c r="BS152" s="26"/>
      <c r="BT152" s="27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</row>
    <row r="153" spans="10:155" s="1" customFormat="1" ht="16.5" customHeight="1">
      <c r="J153" s="217"/>
      <c r="K153" s="218"/>
      <c r="L153" s="198" t="str">
        <f>IF(ISBLANK($BH$116)," ",IF($BE$116&lt;$BH$116,$N$116,IF($BH$116&lt;$BE$116,$AJ$116)))</f>
        <v> </v>
      </c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9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83"/>
      <c r="BK153" s="65"/>
      <c r="BL153" s="25"/>
      <c r="BM153" s="25"/>
      <c r="BN153" s="25"/>
      <c r="BO153" s="25"/>
      <c r="BP153" s="25"/>
      <c r="BQ153" s="25"/>
      <c r="BR153" s="25"/>
      <c r="BS153" s="26"/>
      <c r="BT153" s="27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</row>
    <row r="154" spans="10:155" s="1" customFormat="1" ht="16.5" customHeight="1">
      <c r="J154" s="217"/>
      <c r="K154" s="218"/>
      <c r="L154" s="198" t="str">
        <f>IF(ISBLANK($BH$120)," ",IF($BE$120&lt;$BH$120,$N$120,IF($BH$120&lt;$BE$120,$AJ$120)))</f>
        <v> </v>
      </c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9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83"/>
      <c r="BK154" s="65"/>
      <c r="BL154" s="25"/>
      <c r="BM154" s="25"/>
      <c r="BN154" s="25"/>
      <c r="BO154" s="25"/>
      <c r="BP154" s="25"/>
      <c r="BQ154" s="25"/>
      <c r="BR154" s="25"/>
      <c r="BS154" s="26"/>
      <c r="BT154" s="27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</row>
    <row r="155" spans="10:155" s="1" customFormat="1" ht="16.5" customHeight="1">
      <c r="J155" s="170"/>
      <c r="K155" s="171"/>
      <c r="L155" s="166" t="str">
        <f>IF(ISBLANK($BH$124)," ",IF($BE$124&lt;$BH$124,$N$124,IF($BH$124&lt;$BE$124,$AJ$124)))</f>
        <v> </v>
      </c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7"/>
      <c r="AX155" s="2"/>
      <c r="AY155" s="2"/>
      <c r="AZ155" s="2"/>
      <c r="BA155" s="2"/>
      <c r="BB155" s="2"/>
      <c r="BC155" s="2"/>
      <c r="BD155" s="2"/>
      <c r="BE155" s="84"/>
      <c r="BF155" s="84"/>
      <c r="BG155" s="2"/>
      <c r="BH155" s="2"/>
      <c r="BI155" s="2"/>
      <c r="BJ155" s="3"/>
      <c r="BK155" s="24"/>
      <c r="BL155" s="3"/>
      <c r="BM155" s="3"/>
      <c r="BN155" s="3"/>
      <c r="BO155" s="3"/>
      <c r="BP155" s="25"/>
      <c r="BQ155" s="25"/>
      <c r="BR155" s="25"/>
      <c r="BS155" s="26"/>
      <c r="BT155" s="27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4"/>
      <c r="DU155" s="4"/>
      <c r="DV155" s="4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</row>
    <row r="156" spans="10:155" s="1" customFormat="1" ht="16.5" customHeight="1">
      <c r="J156" s="168" t="s">
        <v>61</v>
      </c>
      <c r="K156" s="169"/>
      <c r="L156" s="164">
        <f>L103</f>
      </c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5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3"/>
      <c r="BK156" s="24"/>
      <c r="BL156" s="21"/>
      <c r="BM156" s="21"/>
      <c r="BN156" s="21"/>
      <c r="BO156" s="21"/>
      <c r="BP156" s="25"/>
      <c r="BQ156" s="25"/>
      <c r="BR156" s="25"/>
      <c r="BS156" s="26"/>
      <c r="BT156" s="27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5"/>
      <c r="ET156" s="5"/>
      <c r="EU156" s="5"/>
      <c r="EV156" s="5"/>
      <c r="EW156" s="5"/>
      <c r="EX156" s="5"/>
      <c r="EY156" s="5"/>
    </row>
    <row r="157" spans="10:155" s="1" customFormat="1" ht="16.5" customHeight="1">
      <c r="J157" s="217"/>
      <c r="K157" s="218"/>
      <c r="L157" s="198">
        <f>IF(OR(' '!L9=0,' '!B9&lt;&gt;' '!L9),"",IF(OR(F63=4,F64=4,F65=4,F66=4),VLOOKUP(SMALL($F$63:$H$66,4),$F$63:$AF$66,7,0),IF(AND(' '!L9=' '!B9,' '!E12=1),L66,"4. Platz Gruppen A nicht eindeutig")))</f>
      </c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9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3"/>
      <c r="BK157" s="24"/>
      <c r="BL157" s="15"/>
      <c r="BM157" s="15"/>
      <c r="BN157" s="15"/>
      <c r="BO157" s="15"/>
      <c r="BP157" s="25"/>
      <c r="BQ157" s="25"/>
      <c r="BR157" s="25"/>
      <c r="BS157" s="26"/>
      <c r="BT157" s="27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4"/>
      <c r="ET157" s="4"/>
      <c r="EU157" s="4"/>
      <c r="EV157" s="4"/>
      <c r="EW157" s="4"/>
      <c r="EX157" s="4"/>
      <c r="EY157" s="4"/>
    </row>
    <row r="158" spans="1:159" s="24" customFormat="1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217"/>
      <c r="K158" s="218"/>
      <c r="L158" s="198">
        <f>IF(OR(' '!L19=0,' '!B19&lt;&gt;' '!L19),"",IF(OR(F79=4,F80=4,F81=4,F82=4),VLOOKUP(SMALL($F$79:$H$82,4),$F$79:$AF$82,7,0),IF(AND(' '!L19=' '!B19,' '!E22=1),L82,"4. Platz Gruppen B nicht eindeutig")))</f>
      </c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9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3"/>
      <c r="BL158" s="15"/>
      <c r="BM158" s="15"/>
      <c r="BN158" s="15"/>
      <c r="BO158" s="15"/>
      <c r="BP158" s="25"/>
      <c r="BQ158" s="25"/>
      <c r="BR158" s="25"/>
      <c r="BS158" s="26"/>
      <c r="BT158" s="27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</row>
    <row r="159" spans="1:159" s="24" customFormat="1" ht="16.5" customHeight="1" thickBot="1">
      <c r="A159" s="1"/>
      <c r="B159" s="1"/>
      <c r="C159" s="1"/>
      <c r="D159" s="1"/>
      <c r="E159" s="1"/>
      <c r="F159" s="1"/>
      <c r="G159" s="1"/>
      <c r="H159" s="1"/>
      <c r="I159" s="1"/>
      <c r="J159" s="235"/>
      <c r="K159" s="236"/>
      <c r="L159" s="237">
        <f>IF(OR(' '!L29=0,' '!B29&lt;&gt;' '!L29),"",IF(OR(F95=4,F96=4,F97=4,F98=4),VLOOKUP(SMALL($F$95:$H$98,4),$F$95:$AF$98,7,0),IF(AND(' '!L29=' '!B29,' '!E32=1),L98,"4. Platz Gruppen C nicht eindeutig")))</f>
      </c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8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3"/>
      <c r="BL159" s="15"/>
      <c r="BM159" s="15"/>
      <c r="BN159" s="15"/>
      <c r="BO159" s="15"/>
      <c r="BP159" s="25"/>
      <c r="BQ159" s="25"/>
      <c r="BR159" s="25"/>
      <c r="BS159" s="26"/>
      <c r="BT159" s="27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</row>
    <row r="160" spans="1:159" s="24" customFormat="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2"/>
      <c r="BB160" s="2"/>
      <c r="BC160" s="2"/>
      <c r="BD160" s="2"/>
      <c r="BE160" s="2"/>
      <c r="BF160" s="2"/>
      <c r="BG160" s="2"/>
      <c r="BH160" s="2"/>
      <c r="BI160" s="2"/>
      <c r="BJ160" s="3"/>
      <c r="BL160" s="15"/>
      <c r="BM160" s="15"/>
      <c r="BN160" s="15"/>
      <c r="BO160" s="15"/>
      <c r="BP160" s="3"/>
      <c r="BQ160" s="3"/>
      <c r="BR160" s="3"/>
      <c r="BS160" s="4"/>
      <c r="BT160" s="5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</row>
    <row r="161" spans="62:159" s="24" customFormat="1" ht="15">
      <c r="BJ161" s="3"/>
      <c r="BL161" s="15"/>
      <c r="BM161" s="15"/>
      <c r="BN161" s="15"/>
      <c r="BO161" s="15"/>
      <c r="BP161" s="4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</row>
    <row r="162" spans="2:104" s="107" customFormat="1" ht="12.75" customHeight="1"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</row>
    <row r="163" spans="2:104" s="30" customFormat="1" ht="12.75" customHeight="1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</row>
    <row r="164" spans="2:104" s="30" customFormat="1" ht="12.75" customHeight="1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</row>
    <row r="165" spans="2:104" s="30" customFormat="1" ht="12.75" customHeight="1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Y165" s="4"/>
      <c r="CZ165" s="4"/>
    </row>
    <row r="166" spans="2:91" s="30" customFormat="1" ht="37.5" customHeight="1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2:91" s="30" customFormat="1" ht="12.75" customHeight="1"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2:91" s="30" customFormat="1" ht="12.75" customHeight="1"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  <c r="AJ168" s="231"/>
      <c r="AK168" s="231"/>
      <c r="AL168" s="231"/>
      <c r="AM168" s="231"/>
      <c r="AN168" s="231"/>
      <c r="AO168" s="231"/>
      <c r="AP168" s="231"/>
      <c r="AQ168" s="231"/>
      <c r="AR168" s="231"/>
      <c r="AS168" s="231"/>
      <c r="AT168" s="231"/>
      <c r="AU168" s="231"/>
      <c r="AV168" s="231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2:91" s="30" customFormat="1" ht="12.75" customHeight="1"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2:91" s="30" customFormat="1" ht="12.75" customHeight="1"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231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2:91" s="30" customFormat="1" ht="12.75" customHeight="1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2:91" s="30" customFormat="1" ht="12.75" customHeight="1" hidden="1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2:91" s="30" customFormat="1" ht="12.75" customHeight="1" hidden="1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spans="1:67" s="155" customFormat="1" ht="12.75" hidden="1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</row>
    <row r="423" spans="1:67" s="155" customFormat="1" ht="12.75" hidden="1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</row>
    <row r="424" spans="1:67" s="155" customFormat="1" ht="12.75" hidden="1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</row>
    <row r="425" spans="1:67" s="155" customFormat="1" ht="12.75" hidden="1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</row>
    <row r="426" spans="1:67" s="155" customFormat="1" ht="12.75" hidden="1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</row>
    <row r="427" spans="1:67" s="155" customFormat="1" ht="12.75" hidden="1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</row>
    <row r="428" spans="1:67" s="155" customFormat="1" ht="12.75" hidden="1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</row>
    <row r="429" spans="1:67" s="155" customFormat="1" ht="12.75" hidden="1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</row>
    <row r="430" spans="1:67" s="155" customFormat="1" ht="12.75" hidden="1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</row>
    <row r="431" spans="1:67" s="155" customFormat="1" ht="12.75" hidden="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</row>
    <row r="432" spans="1:67" s="155" customFormat="1" ht="12.75" hidden="1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</row>
    <row r="433" spans="1:67" s="155" customFormat="1" ht="12.75" hidden="1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</row>
    <row r="434" spans="1:67" s="155" customFormat="1" ht="12.75" hidden="1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</row>
    <row r="435" spans="1:67" s="155" customFormat="1" ht="12.75" hidden="1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</row>
    <row r="436" spans="1:67" s="155" customFormat="1" ht="12.75" hidden="1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</row>
    <row r="437" spans="1:67" s="155" customFormat="1" ht="12.75" hidden="1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</row>
    <row r="438" spans="1:67" s="155" customFormat="1" ht="12.75" hidden="1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</row>
    <row r="439" spans="1:67" s="155" customFormat="1" ht="12.75" hidden="1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</row>
    <row r="440" spans="1:67" s="155" customFormat="1" ht="12.75" hidden="1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</row>
    <row r="441" spans="1:67" s="155" customFormat="1" ht="12.75" hidden="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</row>
    <row r="442" spans="1:67" s="155" customFormat="1" ht="12.75" hidden="1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</row>
    <row r="443" spans="1:67" s="155" customFormat="1" ht="12.75" hidden="1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</row>
    <row r="444" spans="1:67" s="155" customFormat="1" ht="12.75" hidden="1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</row>
    <row r="445" spans="1:67" s="155" customFormat="1" ht="12.75" hidden="1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</row>
    <row r="446" spans="1:67" s="155" customFormat="1" ht="12.75" hidden="1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</row>
    <row r="447" spans="1:67" s="155" customFormat="1" ht="12.75" hidden="1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</row>
    <row r="448" spans="1:67" s="155" customFormat="1" ht="12.75" hidden="1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</row>
    <row r="449" spans="1:67" s="155" customFormat="1" ht="12.75" hidden="1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</row>
    <row r="450" spans="1:67" s="155" customFormat="1" ht="12.75" hidden="1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</row>
    <row r="451" spans="1:67" s="155" customFormat="1" ht="12.75" hidden="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</row>
    <row r="452" spans="1:67" s="155" customFormat="1" ht="12.75" hidden="1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</row>
    <row r="453" spans="1:67" s="155" customFormat="1" ht="12.75" hidden="1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</row>
    <row r="454" spans="1:67" s="155" customFormat="1" ht="12.75" hidden="1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</row>
    <row r="455" spans="1:67" s="155" customFormat="1" ht="12.75" hidden="1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</row>
    <row r="456" spans="1:67" s="155" customFormat="1" ht="12.75" hidden="1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</row>
    <row r="457" spans="1:67" s="155" customFormat="1" ht="12.75" hidden="1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</row>
    <row r="458" spans="1:67" s="155" customFormat="1" ht="12.75" hidden="1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</row>
    <row r="459" spans="1:67" s="155" customFormat="1" ht="12.75" hidden="1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</row>
    <row r="460" spans="1:67" s="155" customFormat="1" ht="12.75" hidden="1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</row>
    <row r="461" spans="1:67" s="155" customFormat="1" ht="12.75" hidden="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</row>
    <row r="462" spans="1:67" s="155" customFormat="1" ht="12.75" hidden="1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</row>
    <row r="463" spans="1:67" s="155" customFormat="1" ht="12.75" hidden="1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</row>
    <row r="464" spans="1:67" s="155" customFormat="1" ht="12.75" hidden="1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</row>
    <row r="465" spans="1:67" s="155" customFormat="1" ht="12.75" hidden="1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</row>
    <row r="466" spans="1:67" s="155" customFormat="1" ht="12.75" hidden="1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</row>
    <row r="467" spans="1:67" s="155" customFormat="1" ht="12.75" hidden="1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</row>
    <row r="468" spans="1:67" s="155" customFormat="1" ht="12.75" hidden="1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</row>
    <row r="469" spans="1:67" s="155" customFormat="1" ht="12.75" hidden="1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</row>
    <row r="470" spans="1:67" s="155" customFormat="1" ht="12.75" hidden="1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</row>
    <row r="471" spans="1:67" s="155" customFormat="1" ht="12.75" hidden="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</row>
    <row r="472" spans="1:67" s="155" customFormat="1" ht="12.75" hidden="1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</row>
    <row r="473" spans="1:67" s="155" customFormat="1" ht="12.75" hidden="1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</row>
    <row r="474" spans="1:67" s="155" customFormat="1" ht="12.75" hidden="1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</row>
    <row r="475" spans="1:67" s="155" customFormat="1" ht="12.75" hidden="1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</row>
    <row r="476" spans="1:67" s="155" customFormat="1" ht="12.75" hidden="1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</row>
    <row r="477" spans="1:67" s="155" customFormat="1" ht="12.75" hidden="1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</row>
    <row r="478" spans="1:67" s="155" customFormat="1" ht="12.75" hidden="1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</row>
    <row r="479" spans="1:67" s="155" customFormat="1" ht="12.75" hidden="1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</row>
    <row r="480" spans="1:67" s="155" customFormat="1" ht="12.75" hidden="1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</row>
    <row r="481" spans="1:67" s="155" customFormat="1" ht="12.75" hidden="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</row>
    <row r="482" ht="12.75"/>
    <row r="483" ht="12.75"/>
    <row r="484" ht="12.75"/>
    <row r="485" ht="12.75"/>
  </sheetData>
  <sheetProtection selectLockedCells="1"/>
  <mergeCells count="646">
    <mergeCell ref="AM68:AO78"/>
    <mergeCell ref="AG82:AI82"/>
    <mergeCell ref="AM82:AO82"/>
    <mergeCell ref="AP82:AR82"/>
    <mergeCell ref="AJ82:AL82"/>
    <mergeCell ref="BB82:BD82"/>
    <mergeCell ref="AJ80:AL80"/>
    <mergeCell ref="AP84:AR94"/>
    <mergeCell ref="AY80:BA80"/>
    <mergeCell ref="AM81:AO81"/>
    <mergeCell ref="AP81:AR81"/>
    <mergeCell ref="AS79:AU79"/>
    <mergeCell ref="AV94:AX94"/>
    <mergeCell ref="AV95:AX95"/>
    <mergeCell ref="AG80:AI80"/>
    <mergeCell ref="AJ31:BD31"/>
    <mergeCell ref="N32:AH32"/>
    <mergeCell ref="N31:AH31"/>
    <mergeCell ref="AJ33:BD33"/>
    <mergeCell ref="AJ34:BD34"/>
    <mergeCell ref="AJ35:BD35"/>
    <mergeCell ref="AJ36:BD36"/>
    <mergeCell ref="AJ41:BD41"/>
    <mergeCell ref="AJ40:BD40"/>
    <mergeCell ref="N35:AH35"/>
    <mergeCell ref="N36:AH36"/>
    <mergeCell ref="AM80:AO80"/>
    <mergeCell ref="AP80:AR80"/>
    <mergeCell ref="AM95:AO95"/>
    <mergeCell ref="AS95:AU95"/>
    <mergeCell ref="AY81:BA81"/>
    <mergeCell ref="BB81:BD81"/>
    <mergeCell ref="AV81:AX81"/>
    <mergeCell ref="AV80:AX80"/>
    <mergeCell ref="AS80:AU80"/>
    <mergeCell ref="AJ68:AL78"/>
    <mergeCell ref="J151:K151"/>
    <mergeCell ref="L151:AF151"/>
    <mergeCell ref="BE138:BG138"/>
    <mergeCell ref="BH138:BI138"/>
    <mergeCell ref="J148:K148"/>
    <mergeCell ref="M21:AG21"/>
    <mergeCell ref="B15:V15"/>
    <mergeCell ref="Y15:AS15"/>
    <mergeCell ref="N30:BD30"/>
    <mergeCell ref="M25:AG25"/>
    <mergeCell ref="M24:AG24"/>
    <mergeCell ref="M23:AG23"/>
    <mergeCell ref="M22:AG22"/>
    <mergeCell ref="Y19:AS19"/>
    <mergeCell ref="Y18:AS18"/>
    <mergeCell ref="Y17:AS17"/>
    <mergeCell ref="Y16:AS16"/>
    <mergeCell ref="B19:V19"/>
    <mergeCell ref="B18:V18"/>
    <mergeCell ref="B17:V17"/>
    <mergeCell ref="B16:V16"/>
    <mergeCell ref="B30:C30"/>
    <mergeCell ref="AJ32:BD32"/>
    <mergeCell ref="AY95:BA95"/>
    <mergeCell ref="BE142:BG142"/>
    <mergeCell ref="BH142:BI142"/>
    <mergeCell ref="BE137:BI137"/>
    <mergeCell ref="AS103:AT103"/>
    <mergeCell ref="AP103:AR103"/>
    <mergeCell ref="BE141:BI141"/>
    <mergeCell ref="BE139:BI139"/>
    <mergeCell ref="AX103:AZ103"/>
    <mergeCell ref="L150:AF150"/>
    <mergeCell ref="AM96:AO96"/>
    <mergeCell ref="AP96:AR96"/>
    <mergeCell ref="AM97:AO97"/>
    <mergeCell ref="AS96:AU96"/>
    <mergeCell ref="AV96:AX96"/>
    <mergeCell ref="J102:K102"/>
    <mergeCell ref="J103:K103"/>
    <mergeCell ref="BE123:BI123"/>
    <mergeCell ref="L148:AF148"/>
    <mergeCell ref="BE143:BI143"/>
    <mergeCell ref="AJ142:BD142"/>
    <mergeCell ref="AJ138:BD138"/>
    <mergeCell ref="N138:AH138"/>
    <mergeCell ref="J147:AF147"/>
    <mergeCell ref="J138:M139"/>
    <mergeCell ref="BA102:BC102"/>
    <mergeCell ref="AS102:AT102"/>
    <mergeCell ref="AG103:AI103"/>
    <mergeCell ref="AX102:AZ102"/>
    <mergeCell ref="AJ143:BD143"/>
    <mergeCell ref="N143:AH143"/>
    <mergeCell ref="AJ139:BD139"/>
    <mergeCell ref="N139:AH139"/>
    <mergeCell ref="N141:BD141"/>
    <mergeCell ref="L98:AF98"/>
    <mergeCell ref="N137:BD137"/>
    <mergeCell ref="J133:M134"/>
    <mergeCell ref="AJ97:AL97"/>
    <mergeCell ref="AS100:AW100"/>
    <mergeCell ref="L101:AF101"/>
    <mergeCell ref="AP101:AR101"/>
    <mergeCell ref="AX100:AZ100"/>
    <mergeCell ref="BA100:BC100"/>
    <mergeCell ref="AY98:BA98"/>
    <mergeCell ref="BB98:BD98"/>
    <mergeCell ref="BB97:BD97"/>
    <mergeCell ref="D132:E132"/>
    <mergeCell ref="F132:I132"/>
    <mergeCell ref="J132:M132"/>
    <mergeCell ref="N132:BD132"/>
    <mergeCell ref="BE132:BI132"/>
    <mergeCell ref="BJ132:BM132"/>
    <mergeCell ref="D133:E134"/>
    <mergeCell ref="F133:I134"/>
    <mergeCell ref="N133:AH133"/>
    <mergeCell ref="AJ133:BD133"/>
    <mergeCell ref="BE133:BG133"/>
    <mergeCell ref="BH133:BI133"/>
    <mergeCell ref="BE134:BI134"/>
    <mergeCell ref="N134:AH134"/>
    <mergeCell ref="AJ134:BD134"/>
    <mergeCell ref="BJ134:BM134"/>
    <mergeCell ref="BE81:BF81"/>
    <mergeCell ref="BE80:BF80"/>
    <mergeCell ref="BH81:BI81"/>
    <mergeCell ref="BJ81:BL81"/>
    <mergeCell ref="BH80:BI80"/>
    <mergeCell ref="BE98:BF98"/>
    <mergeCell ref="BM96:BO96"/>
    <mergeCell ref="BM97:BO97"/>
    <mergeCell ref="BM98:BO98"/>
    <mergeCell ref="BH98:BI98"/>
    <mergeCell ref="BJ96:BL96"/>
    <mergeCell ref="BM95:BO95"/>
    <mergeCell ref="BH95:BI95"/>
    <mergeCell ref="BM94:BO94"/>
    <mergeCell ref="BJ94:BL94"/>
    <mergeCell ref="BJ82:BL82"/>
    <mergeCell ref="BM81:BO81"/>
    <mergeCell ref="BJ95:BL95"/>
    <mergeCell ref="BJ97:BL97"/>
    <mergeCell ref="BJ98:BL98"/>
    <mergeCell ref="BE97:BF97"/>
    <mergeCell ref="BE96:BF96"/>
    <mergeCell ref="BH97:BI97"/>
    <mergeCell ref="BH96:BI96"/>
    <mergeCell ref="F129:I130"/>
    <mergeCell ref="J129:M130"/>
    <mergeCell ref="N129:AH129"/>
    <mergeCell ref="AJ129:BD129"/>
    <mergeCell ref="BE129:BG129"/>
    <mergeCell ref="BH129:BI129"/>
    <mergeCell ref="BJ129:BM129"/>
    <mergeCell ref="N130:AH130"/>
    <mergeCell ref="AJ130:BD130"/>
    <mergeCell ref="BE130:BI130"/>
    <mergeCell ref="BJ130:BM130"/>
    <mergeCell ref="N123:BD123"/>
    <mergeCell ref="BE119:BI119"/>
    <mergeCell ref="BJ119:BM119"/>
    <mergeCell ref="J116:M117"/>
    <mergeCell ref="BA103:BC103"/>
    <mergeCell ref="BH116:BI116"/>
    <mergeCell ref="BJ116:BM116"/>
    <mergeCell ref="BJ117:BM117"/>
    <mergeCell ref="BE120:BG120"/>
    <mergeCell ref="BH120:BI120"/>
    <mergeCell ref="BJ123:BM123"/>
    <mergeCell ref="AV103:AW103"/>
    <mergeCell ref="D124:E125"/>
    <mergeCell ref="N124:AH124"/>
    <mergeCell ref="AJ124:BD124"/>
    <mergeCell ref="BH124:BI124"/>
    <mergeCell ref="BJ124:BM124"/>
    <mergeCell ref="N125:AH125"/>
    <mergeCell ref="AJ125:BD125"/>
    <mergeCell ref="BE125:BI125"/>
    <mergeCell ref="BJ125:BM125"/>
    <mergeCell ref="BE124:BG124"/>
    <mergeCell ref="J30:M30"/>
    <mergeCell ref="J31:M31"/>
    <mergeCell ref="B32:C32"/>
    <mergeCell ref="B34:C34"/>
    <mergeCell ref="B31:C31"/>
    <mergeCell ref="J32:M32"/>
    <mergeCell ref="G30:I30"/>
    <mergeCell ref="G34:I34"/>
    <mergeCell ref="AJ100:AL100"/>
    <mergeCell ref="AG100:AI100"/>
    <mergeCell ref="D47:F47"/>
    <mergeCell ref="D48:F48"/>
    <mergeCell ref="J62:AF62"/>
    <mergeCell ref="B63:E63"/>
    <mergeCell ref="J65:K65"/>
    <mergeCell ref="B78:E78"/>
    <mergeCell ref="AJ81:AL81"/>
    <mergeCell ref="J78:AF78"/>
    <mergeCell ref="AG63:AI63"/>
    <mergeCell ref="AG64:AI64"/>
    <mergeCell ref="AJ64:AL64"/>
    <mergeCell ref="J94:AF94"/>
    <mergeCell ref="J100:AF100"/>
    <mergeCell ref="L82:AF82"/>
    <mergeCell ref="AY65:BA65"/>
    <mergeCell ref="BB62:BD62"/>
    <mergeCell ref="BB63:BD63"/>
    <mergeCell ref="BB64:BD64"/>
    <mergeCell ref="BB65:BD65"/>
    <mergeCell ref="AP95:AR95"/>
    <mergeCell ref="BE82:BF82"/>
    <mergeCell ref="BH40:BI40"/>
    <mergeCell ref="AM84:AO94"/>
    <mergeCell ref="BB95:BD95"/>
    <mergeCell ref="BB79:BD79"/>
    <mergeCell ref="AY66:BA66"/>
    <mergeCell ref="AY78:BA78"/>
    <mergeCell ref="BB78:BD78"/>
    <mergeCell ref="AS66:AU66"/>
    <mergeCell ref="AS78:AU78"/>
    <mergeCell ref="AY94:BA94"/>
    <mergeCell ref="AY82:BA82"/>
    <mergeCell ref="BB94:BD94"/>
    <mergeCell ref="AV82:AX82"/>
    <mergeCell ref="AS94:AU94"/>
    <mergeCell ref="BB66:BD66"/>
    <mergeCell ref="AM65:AO65"/>
    <mergeCell ref="AM52:AO62"/>
    <mergeCell ref="J34:M34"/>
    <mergeCell ref="B42:C42"/>
    <mergeCell ref="B39:C39"/>
    <mergeCell ref="AY97:BA97"/>
    <mergeCell ref="AV97:AX97"/>
    <mergeCell ref="AY96:BA96"/>
    <mergeCell ref="BB96:BD96"/>
    <mergeCell ref="BH44:BI44"/>
    <mergeCell ref="BH43:BI43"/>
    <mergeCell ref="BE63:BF63"/>
    <mergeCell ref="AJ47:BD47"/>
    <mergeCell ref="AJ52:AL62"/>
    <mergeCell ref="BH48:BI48"/>
    <mergeCell ref="AY62:BA62"/>
    <mergeCell ref="AY63:BA63"/>
    <mergeCell ref="AY64:BA64"/>
    <mergeCell ref="BE39:BG39"/>
    <mergeCell ref="BE40:BG40"/>
    <mergeCell ref="BH82:BI82"/>
    <mergeCell ref="BE34:BG34"/>
    <mergeCell ref="BE41:BG41"/>
    <mergeCell ref="BE42:BG42"/>
    <mergeCell ref="BE35:BG35"/>
    <mergeCell ref="BE43:BG43"/>
    <mergeCell ref="BE30:BI30"/>
    <mergeCell ref="BH31:BI31"/>
    <mergeCell ref="BE31:BG31"/>
    <mergeCell ref="BH38:BI38"/>
    <mergeCell ref="BH36:BI36"/>
    <mergeCell ref="BH37:BI37"/>
    <mergeCell ref="BE37:BG37"/>
    <mergeCell ref="BE36:BG36"/>
    <mergeCell ref="BH32:BI32"/>
    <mergeCell ref="BE32:BG32"/>
    <mergeCell ref="BH33:BI33"/>
    <mergeCell ref="BE33:BG33"/>
    <mergeCell ref="BH39:BI39"/>
    <mergeCell ref="BH35:BI35"/>
    <mergeCell ref="BE38:BG38"/>
    <mergeCell ref="BH34:BI34"/>
    <mergeCell ref="BE94:BI94"/>
    <mergeCell ref="AG102:AI102"/>
    <mergeCell ref="AV102:AW102"/>
    <mergeCell ref="AG101:AI101"/>
    <mergeCell ref="AM101:AO101"/>
    <mergeCell ref="AG96:AI96"/>
    <mergeCell ref="AP102:AR102"/>
    <mergeCell ref="AV101:AW101"/>
    <mergeCell ref="AM100:AO100"/>
    <mergeCell ref="AP100:AR100"/>
    <mergeCell ref="BH64:BI64"/>
    <mergeCell ref="AS101:AT101"/>
    <mergeCell ref="N34:AH34"/>
    <mergeCell ref="N41:AH41"/>
    <mergeCell ref="N45:AH45"/>
    <mergeCell ref="AJ48:BD48"/>
    <mergeCell ref="BH47:BI47"/>
    <mergeCell ref="AV65:AX65"/>
    <mergeCell ref="AS65:AU65"/>
    <mergeCell ref="AS64:AU64"/>
    <mergeCell ref="AV66:AX66"/>
    <mergeCell ref="AV78:AX78"/>
    <mergeCell ref="AS81:AU81"/>
    <mergeCell ref="AS82:AU82"/>
    <mergeCell ref="AV98:AX98"/>
    <mergeCell ref="AV79:AX79"/>
    <mergeCell ref="L81:AF81"/>
    <mergeCell ref="L80:AF80"/>
    <mergeCell ref="L95:AF95"/>
    <mergeCell ref="AJ84:AL94"/>
    <mergeCell ref="AP66:AR66"/>
    <mergeCell ref="AG95:AI95"/>
    <mergeCell ref="AJ95:AL95"/>
    <mergeCell ref="AG84:AI94"/>
    <mergeCell ref="AG81:AI81"/>
    <mergeCell ref="AP98:AR98"/>
    <mergeCell ref="AS97:AU97"/>
    <mergeCell ref="AP97:AR97"/>
    <mergeCell ref="AM98:AO98"/>
    <mergeCell ref="AS98:AU98"/>
    <mergeCell ref="AG97:AI97"/>
    <mergeCell ref="L96:AF96"/>
    <mergeCell ref="L97:AF97"/>
    <mergeCell ref="AJ96:AL96"/>
    <mergeCell ref="J149:K149"/>
    <mergeCell ref="L149:AF149"/>
    <mergeCell ref="J152:K152"/>
    <mergeCell ref="BM82:BO82"/>
    <mergeCell ref="B46:C46"/>
    <mergeCell ref="BE95:BF95"/>
    <mergeCell ref="J101:K101"/>
    <mergeCell ref="BA101:BC101"/>
    <mergeCell ref="J137:M137"/>
    <mergeCell ref="AJ121:BD121"/>
    <mergeCell ref="BE121:BI121"/>
    <mergeCell ref="BJ121:BM121"/>
    <mergeCell ref="BJ120:BM120"/>
    <mergeCell ref="B48:C48"/>
    <mergeCell ref="B47:C47"/>
    <mergeCell ref="BM62:BO62"/>
    <mergeCell ref="N46:AH46"/>
    <mergeCell ref="N47:AH47"/>
    <mergeCell ref="BJ62:BL62"/>
    <mergeCell ref="BE62:BI62"/>
    <mergeCell ref="AV62:AX62"/>
    <mergeCell ref="BE48:BG48"/>
    <mergeCell ref="AG98:AI98"/>
    <mergeCell ref="AJ98:AL98"/>
    <mergeCell ref="BM65:BO65"/>
    <mergeCell ref="BM78:BO78"/>
    <mergeCell ref="AJ66:AL66"/>
    <mergeCell ref="AM66:AO66"/>
    <mergeCell ref="BE65:BF65"/>
    <mergeCell ref="BJ65:BL65"/>
    <mergeCell ref="BM80:BO80"/>
    <mergeCell ref="BM79:BO79"/>
    <mergeCell ref="BM66:BO66"/>
    <mergeCell ref="BJ66:BL66"/>
    <mergeCell ref="BJ79:BL79"/>
    <mergeCell ref="BH65:BI65"/>
    <mergeCell ref="AJ65:AL65"/>
    <mergeCell ref="BB80:BD80"/>
    <mergeCell ref="BH79:BI79"/>
    <mergeCell ref="BJ80:BL80"/>
    <mergeCell ref="BE78:BI78"/>
    <mergeCell ref="BJ78:BL78"/>
    <mergeCell ref="BE79:BF79"/>
    <mergeCell ref="AP68:AR78"/>
    <mergeCell ref="AP79:AR79"/>
    <mergeCell ref="AM79:AO79"/>
    <mergeCell ref="AJ79:AL79"/>
    <mergeCell ref="AY79:BA79"/>
    <mergeCell ref="B38:C38"/>
    <mergeCell ref="B37:C37"/>
    <mergeCell ref="B36:C36"/>
    <mergeCell ref="B33:C33"/>
    <mergeCell ref="B35:C35"/>
    <mergeCell ref="G38:I38"/>
    <mergeCell ref="BH45:BI45"/>
    <mergeCell ref="BE47:BG47"/>
    <mergeCell ref="BE46:BG46"/>
    <mergeCell ref="J46:M46"/>
    <mergeCell ref="J45:M45"/>
    <mergeCell ref="BH42:BI42"/>
    <mergeCell ref="J38:M38"/>
    <mergeCell ref="BH46:BI46"/>
    <mergeCell ref="G44:I44"/>
    <mergeCell ref="BH41:BI41"/>
    <mergeCell ref="B45:C45"/>
    <mergeCell ref="B44:C44"/>
    <mergeCell ref="B40:C40"/>
    <mergeCell ref="G43:I43"/>
    <mergeCell ref="B43:C43"/>
    <mergeCell ref="D45:F45"/>
    <mergeCell ref="N42:AH42"/>
    <mergeCell ref="AJ45:BD45"/>
    <mergeCell ref="G31:I31"/>
    <mergeCell ref="G33:I33"/>
    <mergeCell ref="G32:I32"/>
    <mergeCell ref="G36:I36"/>
    <mergeCell ref="G35:I35"/>
    <mergeCell ref="G42:I42"/>
    <mergeCell ref="G39:I39"/>
    <mergeCell ref="G41:I41"/>
    <mergeCell ref="BM64:BO64"/>
    <mergeCell ref="BM63:BO63"/>
    <mergeCell ref="AJ46:BD46"/>
    <mergeCell ref="J43:M43"/>
    <mergeCell ref="N43:AH43"/>
    <mergeCell ref="N44:AH44"/>
    <mergeCell ref="L64:AF64"/>
    <mergeCell ref="L63:AF63"/>
    <mergeCell ref="AG52:AI62"/>
    <mergeCell ref="B61:H61"/>
    <mergeCell ref="B62:E62"/>
    <mergeCell ref="F62:H62"/>
    <mergeCell ref="G48:I48"/>
    <mergeCell ref="G37:I37"/>
    <mergeCell ref="J33:M33"/>
    <mergeCell ref="N33:AH33"/>
    <mergeCell ref="BJ64:BL64"/>
    <mergeCell ref="BE66:BF66"/>
    <mergeCell ref="BH66:BI66"/>
    <mergeCell ref="J63:K63"/>
    <mergeCell ref="BE45:BG45"/>
    <mergeCell ref="F63:H63"/>
    <mergeCell ref="J35:M35"/>
    <mergeCell ref="J42:M42"/>
    <mergeCell ref="J41:M41"/>
    <mergeCell ref="J44:M44"/>
    <mergeCell ref="J36:M36"/>
    <mergeCell ref="N37:AH37"/>
    <mergeCell ref="AJ44:BD44"/>
    <mergeCell ref="AJ42:BD42"/>
    <mergeCell ref="AJ43:BD43"/>
    <mergeCell ref="AP65:AR65"/>
    <mergeCell ref="AS62:AU62"/>
    <mergeCell ref="AP63:AR63"/>
    <mergeCell ref="AM63:AO63"/>
    <mergeCell ref="AJ63:AL63"/>
    <mergeCell ref="AV63:AX63"/>
    <mergeCell ref="AG66:AI66"/>
    <mergeCell ref="AS63:AU63"/>
    <mergeCell ref="D40:F40"/>
    <mergeCell ref="D41:F41"/>
    <mergeCell ref="B41:C41"/>
    <mergeCell ref="G40:I40"/>
    <mergeCell ref="BE64:BF64"/>
    <mergeCell ref="D142:E143"/>
    <mergeCell ref="D141:E141"/>
    <mergeCell ref="J142:M143"/>
    <mergeCell ref="J141:M141"/>
    <mergeCell ref="F141:I141"/>
    <mergeCell ref="F142:I143"/>
    <mergeCell ref="N117:AH117"/>
    <mergeCell ref="AJ117:BD117"/>
    <mergeCell ref="BE117:BI117"/>
    <mergeCell ref="BE116:BG116"/>
    <mergeCell ref="D120:E121"/>
    <mergeCell ref="F120:I121"/>
    <mergeCell ref="J120:M121"/>
    <mergeCell ref="N120:AH120"/>
    <mergeCell ref="N121:AH121"/>
    <mergeCell ref="AJ120:BD120"/>
    <mergeCell ref="L79:AF79"/>
    <mergeCell ref="AM64:AO64"/>
    <mergeCell ref="AP64:AR64"/>
    <mergeCell ref="AV64:AX64"/>
    <mergeCell ref="D46:F46"/>
    <mergeCell ref="D38:F38"/>
    <mergeCell ref="D39:F39"/>
    <mergeCell ref="D138:E139"/>
    <mergeCell ref="D119:E119"/>
    <mergeCell ref="F119:I119"/>
    <mergeCell ref="J119:M119"/>
    <mergeCell ref="F138:I139"/>
    <mergeCell ref="D123:E123"/>
    <mergeCell ref="F123:I123"/>
    <mergeCell ref="J123:M123"/>
    <mergeCell ref="F124:I125"/>
    <mergeCell ref="J124:M125"/>
    <mergeCell ref="D128:E128"/>
    <mergeCell ref="F128:I128"/>
    <mergeCell ref="J128:M128"/>
    <mergeCell ref="J96:K96"/>
    <mergeCell ref="J81:K81"/>
    <mergeCell ref="L103:AF103"/>
    <mergeCell ref="N116:AH116"/>
    <mergeCell ref="N119:BD119"/>
    <mergeCell ref="J79:K79"/>
    <mergeCell ref="AJ113:BD113"/>
    <mergeCell ref="N128:BD128"/>
    <mergeCell ref="D129:E130"/>
    <mergeCell ref="J80:K80"/>
    <mergeCell ref="J98:K98"/>
    <mergeCell ref="J95:K95"/>
    <mergeCell ref="J48:M48"/>
    <mergeCell ref="J64:K64"/>
    <mergeCell ref="BC2:BN3"/>
    <mergeCell ref="B2:BA2"/>
    <mergeCell ref="B3:BA3"/>
    <mergeCell ref="J47:M47"/>
    <mergeCell ref="J37:M37"/>
    <mergeCell ref="J39:M39"/>
    <mergeCell ref="AJ37:BD37"/>
    <mergeCell ref="AJ38:BD38"/>
    <mergeCell ref="AJ39:BD39"/>
    <mergeCell ref="J40:M40"/>
    <mergeCell ref="BE44:BG44"/>
    <mergeCell ref="G45:I45"/>
    <mergeCell ref="G46:I46"/>
    <mergeCell ref="BJ63:BL63"/>
    <mergeCell ref="BH63:BI63"/>
    <mergeCell ref="N48:AH48"/>
    <mergeCell ref="B4:BA4"/>
    <mergeCell ref="D115:E115"/>
    <mergeCell ref="F115:I115"/>
    <mergeCell ref="D116:E117"/>
    <mergeCell ref="BJ111:BM111"/>
    <mergeCell ref="J115:M115"/>
    <mergeCell ref="N115:BD115"/>
    <mergeCell ref="BE115:BI115"/>
    <mergeCell ref="BJ115:BM115"/>
    <mergeCell ref="B6:BA6"/>
    <mergeCell ref="N38:AH38"/>
    <mergeCell ref="N39:AH39"/>
    <mergeCell ref="N40:AH40"/>
    <mergeCell ref="B8:BA8"/>
    <mergeCell ref="B10:G10"/>
    <mergeCell ref="H10:K10"/>
    <mergeCell ref="U10:V10"/>
    <mergeCell ref="X10:AB10"/>
    <mergeCell ref="AC10:AH10"/>
    <mergeCell ref="AI10:AM10"/>
    <mergeCell ref="AN10:AV10"/>
    <mergeCell ref="AW10:BA10"/>
    <mergeCell ref="AP52:AR62"/>
    <mergeCell ref="G47:I47"/>
    <mergeCell ref="AI108:AM108"/>
    <mergeCell ref="H108:K108"/>
    <mergeCell ref="BJ143:BM143"/>
    <mergeCell ref="BJ142:BM142"/>
    <mergeCell ref="BJ138:BM138"/>
    <mergeCell ref="BJ139:BM139"/>
    <mergeCell ref="BJ141:BM141"/>
    <mergeCell ref="BJ137:BM137"/>
    <mergeCell ref="J112:M113"/>
    <mergeCell ref="AW108:BA108"/>
    <mergeCell ref="J111:M111"/>
    <mergeCell ref="N111:BD111"/>
    <mergeCell ref="BE112:BG112"/>
    <mergeCell ref="X108:AB108"/>
    <mergeCell ref="BH112:BI112"/>
    <mergeCell ref="BE111:BI111"/>
    <mergeCell ref="N112:AH112"/>
    <mergeCell ref="AJ112:BD112"/>
    <mergeCell ref="BJ112:BM112"/>
    <mergeCell ref="N113:AH113"/>
    <mergeCell ref="AJ116:BD116"/>
    <mergeCell ref="BE113:BI113"/>
    <mergeCell ref="BJ113:BM113"/>
    <mergeCell ref="BE128:BI128"/>
    <mergeCell ref="BJ128:BM128"/>
    <mergeCell ref="BJ133:BM133"/>
    <mergeCell ref="AJ103:AL103"/>
    <mergeCell ref="D111:E111"/>
    <mergeCell ref="F111:I111"/>
    <mergeCell ref="F79:H79"/>
    <mergeCell ref="F78:H78"/>
    <mergeCell ref="B79:E79"/>
    <mergeCell ref="F80:H80"/>
    <mergeCell ref="B81:E81"/>
    <mergeCell ref="F81:H81"/>
    <mergeCell ref="B82:E82"/>
    <mergeCell ref="F82:H82"/>
    <mergeCell ref="B80:E80"/>
    <mergeCell ref="B93:H93"/>
    <mergeCell ref="B94:E94"/>
    <mergeCell ref="F94:H94"/>
    <mergeCell ref="B96:E96"/>
    <mergeCell ref="F96:H96"/>
    <mergeCell ref="B95:E95"/>
    <mergeCell ref="B102:E102"/>
    <mergeCell ref="F102:H102"/>
    <mergeCell ref="J82:K82"/>
    <mergeCell ref="J97:K97"/>
    <mergeCell ref="F103:H103"/>
    <mergeCell ref="L102:AF102"/>
    <mergeCell ref="AJ102:AL102"/>
    <mergeCell ref="AM102:AO102"/>
    <mergeCell ref="AJ101:AL101"/>
    <mergeCell ref="AM103:AO103"/>
    <mergeCell ref="AN108:AV108"/>
    <mergeCell ref="AX101:AZ101"/>
    <mergeCell ref="B170:AV170"/>
    <mergeCell ref="B166:AV166"/>
    <mergeCell ref="B167:AV167"/>
    <mergeCell ref="B168:AV168"/>
    <mergeCell ref="B169:AV169"/>
    <mergeCell ref="J154:K154"/>
    <mergeCell ref="B162:AV162"/>
    <mergeCell ref="B163:AV163"/>
    <mergeCell ref="B164:AV164"/>
    <mergeCell ref="B165:AV165"/>
    <mergeCell ref="J159:K159"/>
    <mergeCell ref="J158:K158"/>
    <mergeCell ref="J157:K157"/>
    <mergeCell ref="L159:AF159"/>
    <mergeCell ref="L158:AF158"/>
    <mergeCell ref="L157:AF157"/>
    <mergeCell ref="D112:E113"/>
    <mergeCell ref="F112:I113"/>
    <mergeCell ref="D42:F42"/>
    <mergeCell ref="L154:AF154"/>
    <mergeCell ref="D30:F30"/>
    <mergeCell ref="D31:F31"/>
    <mergeCell ref="D32:F32"/>
    <mergeCell ref="D33:F33"/>
    <mergeCell ref="D34:F34"/>
    <mergeCell ref="D35:F35"/>
    <mergeCell ref="D36:F36"/>
    <mergeCell ref="D37:F37"/>
    <mergeCell ref="D44:F44"/>
    <mergeCell ref="L152:AF152"/>
    <mergeCell ref="J150:K150"/>
    <mergeCell ref="J153:K153"/>
    <mergeCell ref="L153:AF153"/>
    <mergeCell ref="U108:V108"/>
    <mergeCell ref="F95:H95"/>
    <mergeCell ref="D137:E137"/>
    <mergeCell ref="AC108:AH108"/>
    <mergeCell ref="F98:H98"/>
    <mergeCell ref="B108:G108"/>
    <mergeCell ref="B66:E66"/>
    <mergeCell ref="F66:H66"/>
    <mergeCell ref="B64:E64"/>
    <mergeCell ref="F116:I117"/>
    <mergeCell ref="F137:I137"/>
    <mergeCell ref="L156:AF156"/>
    <mergeCell ref="L155:AF155"/>
    <mergeCell ref="J156:K156"/>
    <mergeCell ref="J155:K155"/>
    <mergeCell ref="D43:F43"/>
    <mergeCell ref="F65:H65"/>
    <mergeCell ref="F64:H64"/>
    <mergeCell ref="B65:E65"/>
    <mergeCell ref="B77:H77"/>
    <mergeCell ref="B103:E103"/>
    <mergeCell ref="B97:E97"/>
    <mergeCell ref="F97:H97"/>
    <mergeCell ref="B98:E98"/>
    <mergeCell ref="N142:AH142"/>
    <mergeCell ref="J66:K66"/>
    <mergeCell ref="L66:AF66"/>
    <mergeCell ref="L65:AF65"/>
    <mergeCell ref="AG65:AI65"/>
    <mergeCell ref="AG79:AI79"/>
    <mergeCell ref="AG68:AI78"/>
    <mergeCell ref="B101:E101"/>
    <mergeCell ref="F101:H101"/>
  </mergeCells>
  <conditionalFormatting sqref="N31:N48 N112 N116 N120 N124 N129 N133 N138 N142">
    <cfRule type="expression" priority="1" dxfId="70" stopIfTrue="1">
      <formula>AND(BE31&gt;BH31,BE31&lt;&gt;"",BH31&lt;&gt;"")</formula>
    </cfRule>
    <cfRule type="expression" priority="2" dxfId="69" stopIfTrue="1">
      <formula>AND(BE31=BH31,BE31&lt;&gt;"",BH31&lt;&gt;"")</formula>
    </cfRule>
    <cfRule type="expression" priority="3" dxfId="68" stopIfTrue="1">
      <formula>AND(BE31&lt;BH31,BE31&lt;&gt;"",BH31&lt;&gt;"")</formula>
    </cfRule>
  </conditionalFormatting>
  <conditionalFormatting sqref="AJ31:AJ48 AJ112 AJ116 AJ124 AJ129 AJ133 AJ138 AJ142 AJ120">
    <cfRule type="expression" priority="4" dxfId="67" stopIfTrue="1">
      <formula>AND(BH31&gt;BE31,BE31&lt;&gt;"",BH31&lt;&gt;"")</formula>
    </cfRule>
    <cfRule type="expression" priority="5" dxfId="66" stopIfTrue="1">
      <formula>AND(BH31=BE31,BE31&lt;&gt;"",BH31&lt;&gt;"")</formula>
    </cfRule>
    <cfRule type="expression" priority="6" dxfId="0" stopIfTrue="1">
      <formula>AND(BH31&lt;BE31,BE31&lt;&gt;"",BH31&lt;&gt;"")</formula>
    </cfRule>
  </conditionalFormatting>
  <conditionalFormatting sqref="BE138:BG138 BE142:BG142 BE31:BG48 BE112:BG112 BE116:BG116 BE120:BG120 BE124:BG124 BE129:BG129 BE133:BG133">
    <cfRule type="expression" priority="7" dxfId="62" stopIfTrue="1">
      <formula>AND(BH31&lt;&gt;"",ISBLANK(BE31))</formula>
    </cfRule>
    <cfRule type="expression" priority="8" dxfId="1" stopIfTrue="1">
      <formula>ISBLANK(BE31)</formula>
    </cfRule>
  </conditionalFormatting>
  <conditionalFormatting sqref="BH138:BI138 BH142:BI142 BH31:BI48 BH112:BI112 BH116:BI116 BH120:BI120 BH124:BI124 BH129:BI129 BH133:BI133">
    <cfRule type="expression" priority="9" dxfId="62" stopIfTrue="1">
      <formula>AND(BE31&lt;&gt;"",ISBLANK(BH31))</formula>
    </cfRule>
    <cfRule type="expression" priority="10" dxfId="1" stopIfTrue="1">
      <formula>ISBLANK(BH31)</formula>
    </cfRule>
  </conditionalFormatting>
  <conditionalFormatting sqref="AM114:AQ114 AM118:AQ118 AM122:AQ122 AM126:AQ127 AM135:AQ135 AI108:AM109 AM110:AQ110">
    <cfRule type="expression" priority="11" dxfId="1" stopIfTrue="1">
      <formula>AND($U$108=2,ISBLANK($AI$108))</formula>
    </cfRule>
    <cfRule type="cellIs" priority="12" dxfId="59" operator="equal" stopIfTrue="1">
      <formula>0</formula>
    </cfRule>
    <cfRule type="expression" priority="13" dxfId="0" stopIfTrue="1">
      <formula>$AC$108=""</formula>
    </cfRule>
  </conditionalFormatting>
  <conditionalFormatting sqref="L92:L93 AS92:BO93 L67:L77 AS67:BO77 AG66:BO66">
    <cfRule type="expression" priority="14" dxfId="0" stopIfTrue="1">
      <formula>$J$66=""</formula>
    </cfRule>
  </conditionalFormatting>
  <conditionalFormatting sqref="AG101:BC101 L101">
    <cfRule type="expression" priority="15" dxfId="0" stopIfTrue="1">
      <formula>$J$102=""</formula>
    </cfRule>
  </conditionalFormatting>
  <conditionalFormatting sqref="AG102:BC102 L102">
    <cfRule type="expression" priority="16" dxfId="0" stopIfTrue="1">
      <formula>$J$102=""</formula>
    </cfRule>
    <cfRule type="expression" priority="17" dxfId="0" stopIfTrue="1">
      <formula>$J$103=""</formula>
    </cfRule>
  </conditionalFormatting>
  <conditionalFormatting sqref="L103 AG103:BC103 F84:F92 CR101:DN101">
    <cfRule type="expression" priority="18" dxfId="0" stopIfTrue="1">
      <formula>$J$103=""</formula>
    </cfRule>
  </conditionalFormatting>
  <conditionalFormatting sqref="AG99:BC99 L99 AG98:BO98">
    <cfRule type="expression" priority="19" dxfId="0" stopIfTrue="1">
      <formula>$J$98=""</formula>
    </cfRule>
  </conditionalFormatting>
  <conditionalFormatting sqref="L95:AF95">
    <cfRule type="expression" priority="20" dxfId="4" stopIfTrue="1">
      <formula>$AS$95=""</formula>
    </cfRule>
    <cfRule type="expression" priority="21" dxfId="0" stopIfTrue="1">
      <formula>$J$96=""</formula>
    </cfRule>
  </conditionalFormatting>
  <conditionalFormatting sqref="L96:AF96">
    <cfRule type="expression" priority="22" dxfId="4" stopIfTrue="1">
      <formula>$AS$96=""</formula>
    </cfRule>
    <cfRule type="expression" priority="23" dxfId="0" stopIfTrue="1">
      <formula>$J$96=""</formula>
    </cfRule>
    <cfRule type="expression" priority="24" dxfId="0" stopIfTrue="1">
      <formula>$J$97=""</formula>
    </cfRule>
  </conditionalFormatting>
  <conditionalFormatting sqref="L97:AF97">
    <cfRule type="expression" priority="25" dxfId="4" stopIfTrue="1">
      <formula>$AS$97=""</formula>
    </cfRule>
    <cfRule type="expression" priority="26" dxfId="0" stopIfTrue="1">
      <formula>$J$97=""</formula>
    </cfRule>
    <cfRule type="expression" priority="27" dxfId="0" stopIfTrue="1">
      <formula>$J$98=""</formula>
    </cfRule>
  </conditionalFormatting>
  <conditionalFormatting sqref="L98:AF98">
    <cfRule type="expression" priority="28" dxfId="4" stopIfTrue="1">
      <formula>$AS$98=""</formula>
    </cfRule>
    <cfRule type="expression" priority="29" dxfId="0" stopIfTrue="1">
      <formula>$J$98=""</formula>
    </cfRule>
  </conditionalFormatting>
  <conditionalFormatting sqref="AS84:BO91 L84:L91 BU102 DB102:DW102 DX81 CO56:DW80 CQ51:DY55 AG82:BO82">
    <cfRule type="expression" priority="30" dxfId="0" stopIfTrue="1">
      <formula>$J$82=""</formula>
    </cfRule>
  </conditionalFormatting>
  <conditionalFormatting sqref="J95:K98">
    <cfRule type="expression" priority="31" dxfId="2" stopIfTrue="1">
      <formula>Ergebniseingabe!#REF!&lt;&gt;Ergebniseingabe!#REF!</formula>
    </cfRule>
  </conditionalFormatting>
  <conditionalFormatting sqref="J101:K103">
    <cfRule type="expression" priority="32" dxfId="2" stopIfTrue="1">
      <formula>Ergebniseingabe!#REF!&lt;&gt;Ergebniseingabe!#REF!</formula>
    </cfRule>
  </conditionalFormatting>
  <conditionalFormatting sqref="AG95:BO95">
    <cfRule type="expression" priority="33" dxfId="0" stopIfTrue="1">
      <formula>$J$96=""</formula>
    </cfRule>
  </conditionalFormatting>
  <conditionalFormatting sqref="AG96:BO96">
    <cfRule type="expression" priority="34" dxfId="0" stopIfTrue="1">
      <formula>$J$96=""</formula>
    </cfRule>
    <cfRule type="expression" priority="35" dxfId="0" stopIfTrue="1">
      <formula>$J$97=""</formula>
    </cfRule>
  </conditionalFormatting>
  <conditionalFormatting sqref="AG97:BO97">
    <cfRule type="expression" priority="36" dxfId="0" stopIfTrue="1">
      <formula>$J$97=""</formula>
    </cfRule>
    <cfRule type="expression" priority="37" dxfId="0" stopIfTrue="1">
      <formula>$J$98=""</formula>
    </cfRule>
  </conditionalFormatting>
  <conditionalFormatting sqref="L79:AF79">
    <cfRule type="expression" priority="38" dxfId="4" stopIfTrue="1">
      <formula>$AS$79=""</formula>
    </cfRule>
    <cfRule type="expression" priority="39" dxfId="0" stopIfTrue="1">
      <formula>$J$80=""</formula>
    </cfRule>
  </conditionalFormatting>
  <conditionalFormatting sqref="L80:AF80">
    <cfRule type="expression" priority="40" dxfId="4" stopIfTrue="1">
      <formula>$AS$80=""</formula>
    </cfRule>
    <cfRule type="expression" priority="41" dxfId="0" stopIfTrue="1">
      <formula>$J$80=""</formula>
    </cfRule>
    <cfRule type="expression" priority="42" dxfId="0" stopIfTrue="1">
      <formula>$J$81=""</formula>
    </cfRule>
  </conditionalFormatting>
  <conditionalFormatting sqref="L81:AF81">
    <cfRule type="expression" priority="43" dxfId="4" stopIfTrue="1">
      <formula>$AS$81=""</formula>
    </cfRule>
    <cfRule type="expression" priority="44" dxfId="0" stopIfTrue="1">
      <formula>$J$81=""</formula>
    </cfRule>
    <cfRule type="expression" priority="45" dxfId="0" stopIfTrue="1">
      <formula>$J$82=""</formula>
    </cfRule>
  </conditionalFormatting>
  <conditionalFormatting sqref="L63:AF63">
    <cfRule type="expression" priority="46" dxfId="4" stopIfTrue="1">
      <formula>$AS$63=""</formula>
    </cfRule>
    <cfRule type="expression" priority="47" dxfId="0" stopIfTrue="1">
      <formula>$J$64=""</formula>
    </cfRule>
  </conditionalFormatting>
  <conditionalFormatting sqref="L64:AF64">
    <cfRule type="expression" priority="48" dxfId="4" stopIfTrue="1">
      <formula>$AS$64=""</formula>
    </cfRule>
    <cfRule type="expression" priority="49" dxfId="0" stopIfTrue="1">
      <formula>$J$64=""</formula>
    </cfRule>
    <cfRule type="expression" priority="50" dxfId="0" stopIfTrue="1">
      <formula>$J$65=""</formula>
    </cfRule>
  </conditionalFormatting>
  <conditionalFormatting sqref="L65:AF65">
    <cfRule type="expression" priority="51" dxfId="4" stopIfTrue="1">
      <formula>$AS$65=""</formula>
    </cfRule>
    <cfRule type="expression" priority="52" dxfId="0" stopIfTrue="1">
      <formula>$J$65=""</formula>
    </cfRule>
    <cfRule type="expression" priority="53" dxfId="0" stopIfTrue="1">
      <formula>$J$66=""</formula>
    </cfRule>
  </conditionalFormatting>
  <conditionalFormatting sqref="L66:AF66">
    <cfRule type="expression" priority="54" dxfId="4" stopIfTrue="1">
      <formula>$AS$66=""</formula>
    </cfRule>
    <cfRule type="expression" priority="55" dxfId="0" stopIfTrue="1">
      <formula>$J$66=""</formula>
    </cfRule>
  </conditionalFormatting>
  <conditionalFormatting sqref="J63:K66">
    <cfRule type="expression" priority="56" dxfId="2" stopIfTrue="1">
      <formula>Ergebniseingabe!#REF!&lt;&gt;Ergebniseingabe!#REF!</formula>
    </cfRule>
  </conditionalFormatting>
  <conditionalFormatting sqref="AG63:BO63">
    <cfRule type="expression" priority="57" dxfId="0" stopIfTrue="1">
      <formula>$J$64=""</formula>
    </cfRule>
  </conditionalFormatting>
  <conditionalFormatting sqref="AG64:BO64">
    <cfRule type="expression" priority="58" dxfId="0" stopIfTrue="1">
      <formula>$J$64=""</formula>
    </cfRule>
    <cfRule type="expression" priority="59" dxfId="0" stopIfTrue="1">
      <formula>$J$65=""</formula>
    </cfRule>
  </conditionalFormatting>
  <conditionalFormatting sqref="AG65:BO65">
    <cfRule type="expression" priority="60" dxfId="0" stopIfTrue="1">
      <formula>$J$65=""</formula>
    </cfRule>
    <cfRule type="expression" priority="61" dxfId="0" stopIfTrue="1">
      <formula>$J$66=""</formula>
    </cfRule>
  </conditionalFormatting>
  <conditionalFormatting sqref="AG79:BO79">
    <cfRule type="expression" priority="62" dxfId="0" stopIfTrue="1">
      <formula>$J$80=""</formula>
    </cfRule>
  </conditionalFormatting>
  <conditionalFormatting sqref="AG80:BO80">
    <cfRule type="expression" priority="63" dxfId="0" stopIfTrue="1">
      <formula>$J$80=""</formula>
    </cfRule>
    <cfRule type="expression" priority="64" dxfId="0" stopIfTrue="1">
      <formula>$J$81=""</formula>
    </cfRule>
  </conditionalFormatting>
  <conditionalFormatting sqref="AG81:BO81">
    <cfRule type="expression" priority="65" dxfId="0" stopIfTrue="1">
      <formula>$J$81=""</formula>
    </cfRule>
    <cfRule type="expression" priority="66" dxfId="0" stopIfTrue="1">
      <formula>$J$82=""</formula>
    </cfRule>
  </conditionalFormatting>
  <conditionalFormatting sqref="BT56:CN80 BV51:CP55 L82:AF82">
    <cfRule type="expression" priority="67" dxfId="4" stopIfTrue="1">
      <formula>$AS$82=""</formula>
    </cfRule>
    <cfRule type="expression" priority="68" dxfId="0" stopIfTrue="1">
      <formula>$J$82=""</formula>
    </cfRule>
  </conditionalFormatting>
  <conditionalFormatting sqref="BR56:BS80 BT51:BU55 J79:K82">
    <cfRule type="expression" priority="69" dxfId="2" stopIfTrue="1">
      <formula>Ergebniseingabe!#REF!&lt;&gt;Ergebniseingabe!#REF!</formula>
    </cfRule>
  </conditionalFormatting>
  <conditionalFormatting sqref="AI10:AM10">
    <cfRule type="expression" priority="70" dxfId="1" stopIfTrue="1">
      <formula>AND($U$10=2,ISBLANK($AI$10))</formula>
    </cfRule>
    <cfRule type="expression" priority="71" dxfId="0" stopIfTrue="1">
      <formula>$AC$10=""</formula>
    </cfRule>
  </conditionalFormatting>
  <dataValidations count="3">
    <dataValidation type="whole" operator="greaterThanOrEqual" allowBlank="1" showErrorMessage="1" errorTitle="Fehler" error="Nur Zahlen eingeben!" sqref="AB135:AF135 BA135:BE135 BA126:BE127 AB126:AF127 AM126:AQ127 AM122:AQ122 BA122:BE122 AB122:AF122 AM118:AQ118 BA118:BE118 AB118:AF118 AB114:AF114 AM114:AQ114 BA114:BE114 AM135:AQ135 X108:AB109 AW108:BA109 AI108:AM109 AM110:AQ110 AB110:AF110 BA110:BE110 BE31:BI48 AI10:AM10 AW10:BA10 X10:AB10">
      <formula1>0</formula1>
    </dataValidation>
    <dataValidation type="list" allowBlank="1" showInputMessage="1" showErrorMessage="1" sqref="Y135:Z135 Y126:Z127 Y122:Z122 Y118:Z118 Y114:Z114 U109:V109 U10:V10 Y110:Z110">
      <formula1>$B$31:$B$32</formula1>
    </dataValidation>
    <dataValidation type="list" allowBlank="1" showInputMessage="1" showErrorMessage="1" sqref="BJ142:BM142 BJ112:BM112 BJ116:BM116 BJ120:BM120 BJ124:BM124 BJ129:BM129 BJ133:BM133 BJ138:BM138 B101:E103 B95:E98 B79:E82 B63:E66">
      <formula1>$AL$22:$AL$25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0" r:id="rId4"/>
  <rowBreaks count="2" manualBreakCount="2">
    <brk id="82" max="67" man="1"/>
    <brk id="17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299"/>
  <sheetViews>
    <sheetView showGridLines="0" showRowColHeaders="0" zoomScalePageLayoutView="0" workbookViewId="0" topLeftCell="A1">
      <selection activeCell="BC2" sqref="BC2:BN3"/>
    </sheetView>
  </sheetViews>
  <sheetFormatPr defaultColWidth="0" defaultRowHeight="12.75" zeroHeight="1"/>
  <cols>
    <col min="1" max="68" width="2.140625" style="3" customWidth="1"/>
    <col min="69" max="73" width="2.140625" style="3" hidden="1" customWidth="1"/>
    <col min="74" max="74" width="2.140625" style="4" hidden="1" customWidth="1"/>
    <col min="75" max="75" width="2.140625" style="5" hidden="1" customWidth="1"/>
    <col min="76" max="155" width="2.140625" style="4" hidden="1" customWidth="1"/>
    <col min="156" max="16384" width="2.140625" style="3" hidden="1" customWidth="1"/>
  </cols>
  <sheetData>
    <row r="1" spans="54:155" s="1" customFormat="1" ht="7.5" customHeight="1"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</row>
    <row r="2" spans="2:155" s="1" customFormat="1" ht="33" customHeight="1">
      <c r="B2" s="456" t="str">
        <f>IF(Ergebniseingabe!B2="","",Ergebniseingabe!B2)</f>
        <v>SV 1930 Rosellen e.V.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10"/>
      <c r="BC2" s="301" t="s">
        <v>0</v>
      </c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75"/>
      <c r="BP2" s="75"/>
      <c r="BQ2" s="75"/>
      <c r="BR2" s="75"/>
      <c r="BS2" s="3"/>
      <c r="BT2" s="3"/>
      <c r="BU2" s="3"/>
      <c r="BV2" s="4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</row>
    <row r="3" spans="2:155" s="6" customFormat="1" ht="27" customHeight="1">
      <c r="B3" s="456" t="str">
        <f>IF(Ergebniseingabe!B3="","",Ergebniseingabe!B3)</f>
        <v>Grosser Dienstleistungen-Cup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10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75"/>
      <c r="BP3" s="75"/>
      <c r="BQ3" s="75"/>
      <c r="BR3" s="75"/>
      <c r="BS3" s="7"/>
      <c r="BT3" s="7"/>
      <c r="BU3" s="7"/>
      <c r="BV3" s="8"/>
      <c r="BW3" s="9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s="11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3"/>
      <c r="BC4" s="14"/>
      <c r="BD4" s="14"/>
      <c r="BE4" s="14"/>
      <c r="BF4" s="14"/>
      <c r="BG4" s="14"/>
      <c r="BH4" s="14"/>
      <c r="BI4" s="14"/>
      <c r="BJ4" s="14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7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</row>
    <row r="5" spans="44:155" s="11" customFormat="1" ht="6" customHeight="1"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3"/>
      <c r="BC5" s="14"/>
      <c r="BD5" s="14"/>
      <c r="BE5" s="14"/>
      <c r="BF5" s="14"/>
      <c r="BG5" s="14"/>
      <c r="BH5" s="14"/>
      <c r="BI5" s="14"/>
      <c r="BJ5" s="14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7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</row>
    <row r="6" spans="2:155" s="18" customFormat="1" ht="15">
      <c r="B6" s="465">
        <f>Ergebniseingabe!B6</f>
        <v>42504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19"/>
      <c r="BC6" s="20"/>
      <c r="BD6" s="20"/>
      <c r="BE6" s="20"/>
      <c r="BF6" s="20"/>
      <c r="BG6" s="20"/>
      <c r="BH6" s="20"/>
      <c r="BI6" s="20"/>
      <c r="BJ6" s="20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/>
      <c r="BW6" s="23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44:155" s="11" customFormat="1" ht="6" customHeight="1"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/>
      <c r="BC7" s="14"/>
      <c r="BD7" s="14"/>
      <c r="BE7" s="14"/>
      <c r="BF7" s="14"/>
      <c r="BG7" s="14"/>
      <c r="BH7" s="14"/>
      <c r="BI7" s="14"/>
      <c r="BJ7" s="14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7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</row>
    <row r="8" spans="2:155" s="24" customFormat="1" ht="15">
      <c r="B8" s="466" t="str">
        <f>Ergebniseingabe!B8</f>
        <v>Bezirkssportanlage Rosellen, Rosellener Schulstr. 11, 41470 Neuss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18"/>
      <c r="BC8" s="18"/>
      <c r="BD8" s="18"/>
      <c r="BE8" s="18"/>
      <c r="BF8" s="18"/>
      <c r="BG8" s="18"/>
      <c r="BH8" s="18"/>
      <c r="BI8" s="18"/>
      <c r="BJ8" s="18"/>
      <c r="BK8" s="21"/>
      <c r="BL8" s="21"/>
      <c r="BM8" s="21"/>
      <c r="BN8" s="21"/>
      <c r="BO8" s="21"/>
      <c r="BP8" s="21"/>
      <c r="BQ8" s="21"/>
      <c r="BR8" s="21"/>
      <c r="BS8" s="25"/>
      <c r="BT8" s="25"/>
      <c r="BU8" s="25"/>
      <c r="BV8" s="26"/>
      <c r="BW8" s="27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54:155" s="11" customFormat="1" ht="6" customHeight="1">
      <c r="BB9" s="14"/>
      <c r="BC9" s="14"/>
      <c r="BD9" s="14"/>
      <c r="BE9" s="14"/>
      <c r="BF9" s="14"/>
      <c r="BG9" s="14"/>
      <c r="BH9" s="14"/>
      <c r="BI9" s="14"/>
      <c r="BJ9" s="14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  <c r="BW9" s="17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2:115" s="96" customFormat="1" ht="15">
      <c r="B10" s="222" t="s">
        <v>48</v>
      </c>
      <c r="C10" s="222"/>
      <c r="D10" s="222"/>
      <c r="E10" s="222"/>
      <c r="F10" s="222"/>
      <c r="G10" s="222"/>
      <c r="H10" s="471">
        <f>Ergebniseingabe!H10</f>
        <v>0.375</v>
      </c>
      <c r="I10" s="471"/>
      <c r="J10" s="471"/>
      <c r="K10" s="471"/>
      <c r="L10" s="96" t="s">
        <v>1</v>
      </c>
      <c r="T10" s="97" t="s">
        <v>2</v>
      </c>
      <c r="U10" s="219">
        <f>Ergebniseingabe!U10</f>
        <v>1</v>
      </c>
      <c r="V10" s="219"/>
      <c r="W10" s="98" t="s">
        <v>3</v>
      </c>
      <c r="X10" s="267">
        <f>Ergebniseingabe!X10</f>
        <v>17</v>
      </c>
      <c r="Y10" s="267"/>
      <c r="Z10" s="267"/>
      <c r="AA10" s="267"/>
      <c r="AB10" s="267"/>
      <c r="AC10" s="221">
        <f>IF(U10=2,"Halbzeit:","")</f>
      </c>
      <c r="AD10" s="221"/>
      <c r="AE10" s="221"/>
      <c r="AF10" s="221"/>
      <c r="AG10" s="221"/>
      <c r="AH10" s="221"/>
      <c r="AI10" s="267">
        <f>IF(Ergebniseingabe!AI10="","",Ergebniseingabe!AI10)</f>
      </c>
      <c r="AJ10" s="267"/>
      <c r="AK10" s="267"/>
      <c r="AL10" s="267"/>
      <c r="AM10" s="267"/>
      <c r="AN10" s="222" t="s">
        <v>4</v>
      </c>
      <c r="AO10" s="222"/>
      <c r="AP10" s="222"/>
      <c r="AQ10" s="222"/>
      <c r="AR10" s="222"/>
      <c r="AS10" s="222"/>
      <c r="AT10" s="222"/>
      <c r="AU10" s="222"/>
      <c r="AV10" s="222"/>
      <c r="AW10" s="263">
        <f>Ergebniseingabe!AW10</f>
        <v>3</v>
      </c>
      <c r="AX10" s="263"/>
      <c r="AY10" s="263"/>
      <c r="AZ10" s="263"/>
      <c r="BA10" s="263"/>
      <c r="BB10" s="99"/>
      <c r="BC10" s="99"/>
      <c r="BD10" s="99"/>
      <c r="BE10" s="100"/>
      <c r="BF10" s="100"/>
      <c r="BG10" s="100"/>
      <c r="BH10" s="101"/>
      <c r="BI10" s="101"/>
      <c r="BJ10" s="101"/>
      <c r="BK10" s="100"/>
      <c r="BL10" s="102"/>
      <c r="BM10" s="102"/>
      <c r="BN10" s="102"/>
      <c r="BO10" s="102"/>
      <c r="BP10" s="102"/>
      <c r="BQ10" s="102"/>
      <c r="BR10" s="103"/>
      <c r="BS10" s="103"/>
      <c r="BT10" s="103"/>
      <c r="BU10" s="103"/>
      <c r="BV10" s="101"/>
      <c r="BW10" s="101"/>
      <c r="BX10" s="101"/>
      <c r="BY10" s="101"/>
      <c r="BZ10" s="101"/>
      <c r="CA10" s="101"/>
      <c r="CB10" s="103"/>
      <c r="CC10" s="103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4:155" s="1" customFormat="1" ht="9" customHeight="1">
      <c r="BB11" s="2"/>
      <c r="BC11" s="2"/>
      <c r="BD11" s="2"/>
      <c r="BE11" s="2"/>
      <c r="BF11" s="2"/>
      <c r="BG11" s="2"/>
      <c r="BH11" s="2"/>
      <c r="BI11" s="2"/>
      <c r="BJ11" s="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4"/>
      <c r="BW11" s="5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</row>
    <row r="12" spans="54:155" s="1" customFormat="1" ht="6" customHeight="1"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5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</row>
    <row r="13" spans="2:155" s="24" customFormat="1" ht="15">
      <c r="B13" s="28" t="s">
        <v>5</v>
      </c>
      <c r="BB13" s="29"/>
      <c r="BC13" s="29"/>
      <c r="BD13" s="29"/>
      <c r="BE13" s="29"/>
      <c r="BF13" s="29"/>
      <c r="BG13" s="29"/>
      <c r="BH13" s="29"/>
      <c r="BI13" s="29"/>
      <c r="BJ13" s="29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/>
      <c r="BW13" s="27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</row>
    <row r="14" spans="54:155" s="1" customFormat="1" ht="11.25" customHeight="1" thickBot="1">
      <c r="BB14" s="2"/>
      <c r="BC14" s="2"/>
      <c r="BD14" s="2"/>
      <c r="BE14" s="2"/>
      <c r="BF14" s="2"/>
      <c r="BG14" s="2"/>
      <c r="BH14" s="2"/>
      <c r="BI14" s="2"/>
      <c r="BJ14" s="2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4"/>
      <c r="BW14" s="5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</row>
    <row r="15" spans="2:155" s="1" customFormat="1" ht="16.5" customHeight="1" thickBot="1">
      <c r="B15" s="433" t="s">
        <v>6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5"/>
      <c r="Y15" s="436" t="s">
        <v>7</v>
      </c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8"/>
      <c r="AT15" s="2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s="1" customFormat="1" ht="16.5" customHeight="1">
      <c r="A16" s="31"/>
      <c r="B16" s="455" t="str">
        <f>Ergebniseingabe!B16</f>
        <v>SV Rosellen 3</v>
      </c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4"/>
      <c r="X16" s="31"/>
      <c r="Y16" s="455" t="str">
        <f>Ergebniseingabe!Y16</f>
        <v>SV Rosellen 1</v>
      </c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4"/>
      <c r="AT16" s="2"/>
      <c r="AV16" s="31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:155" s="1" customFormat="1" ht="16.5" customHeight="1">
      <c r="A17" s="31"/>
      <c r="B17" s="454" t="str">
        <f>Ergebniseingabe!B17</f>
        <v>DSC 99 Düsseldorf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9"/>
      <c r="X17" s="31"/>
      <c r="Y17" s="454" t="str">
        <f>Ergebniseingabe!Y17</f>
        <v>SV Nütterden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9"/>
      <c r="AT17" s="2"/>
      <c r="AV17" s="31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</row>
    <row r="18" spans="1:155" s="1" customFormat="1" ht="16.5" customHeight="1">
      <c r="A18" s="31"/>
      <c r="B18" s="454" t="str">
        <f>Ergebniseingabe!B18</f>
        <v>TuS Hackenbroich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9"/>
      <c r="X18" s="31"/>
      <c r="Y18" s="454" t="str">
        <f>Ergebniseingabe!Y18</f>
        <v>1. FC Quadrath Ichendorf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9"/>
      <c r="AT18" s="2"/>
      <c r="AV18" s="31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55" s="1" customFormat="1" ht="16.5" customHeight="1" thickBot="1">
      <c r="A19" s="31"/>
      <c r="B19" s="451" t="str">
        <f>Ergebniseingabe!B19</f>
        <v>DJK Viktoria Frechen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3"/>
      <c r="X19" s="31"/>
      <c r="Y19" s="451" t="str">
        <f>Ergebniseingabe!Y19</f>
        <v>SC Blau-Weiß 06 Köln</v>
      </c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3"/>
      <c r="AT19" s="2"/>
      <c r="AV19" s="31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</row>
    <row r="20" spans="25:155" s="1" customFormat="1" ht="16.5" customHeight="1" thickBot="1">
      <c r="Y20" s="106"/>
      <c r="BG20" s="2"/>
      <c r="BH20" s="2"/>
      <c r="BI20" s="2"/>
      <c r="BJ20" s="2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2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</row>
    <row r="21" spans="13:155" s="1" customFormat="1" ht="16.5" customHeight="1" thickBot="1">
      <c r="M21" s="430" t="s">
        <v>8</v>
      </c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2"/>
      <c r="BG21" s="2"/>
      <c r="BH21" s="2"/>
      <c r="BI21" s="2"/>
      <c r="BJ21" s="2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2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</row>
    <row r="22" spans="13:155" s="1" customFormat="1" ht="16.5" customHeight="1">
      <c r="M22" s="455" t="str">
        <f>Ergebniseingabe!M22</f>
        <v>SV Rosellen 2</v>
      </c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4"/>
      <c r="BG22" s="2"/>
      <c r="BH22" s="2"/>
      <c r="BI22" s="2"/>
      <c r="BJ22" s="2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2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</row>
    <row r="23" spans="13:155" s="1" customFormat="1" ht="16.5" customHeight="1">
      <c r="M23" s="454" t="str">
        <f>Ergebniseingabe!M23</f>
        <v>SG Orken-Noithausen</v>
      </c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9"/>
      <c r="BG23" s="2"/>
      <c r="BH23" s="2"/>
      <c r="BI23" s="2"/>
      <c r="BJ23" s="2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2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</row>
    <row r="24" spans="13:155" s="1" customFormat="1" ht="16.5" customHeight="1">
      <c r="M24" s="454" t="str">
        <f>Ergebniseingabe!M24</f>
        <v>SSV Strümp</v>
      </c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9"/>
      <c r="BG24" s="2"/>
      <c r="BH24" s="2"/>
      <c r="BI24" s="2"/>
      <c r="BJ24" s="2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2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</row>
    <row r="25" spans="13:155" s="1" customFormat="1" ht="16.5" customHeight="1" thickBot="1">
      <c r="M25" s="451" t="str">
        <f>Ergebniseingabe!M25</f>
        <v>DJK Hoisten</v>
      </c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3"/>
      <c r="BG25" s="2"/>
      <c r="BH25" s="2"/>
      <c r="BI25" s="2"/>
      <c r="BJ25" s="2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2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</row>
    <row r="26" spans="25:155" s="1" customFormat="1" ht="16.5" customHeight="1">
      <c r="Y26" s="106"/>
      <c r="BG26" s="2"/>
      <c r="BH26" s="2"/>
      <c r="BI26" s="2"/>
      <c r="BJ26" s="2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2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</row>
    <row r="27" spans="25:155" s="1" customFormat="1" ht="16.5" customHeight="1">
      <c r="Y27" s="106"/>
      <c r="BG27" s="2"/>
      <c r="BH27" s="2"/>
      <c r="BI27" s="2"/>
      <c r="BJ27" s="2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2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25:151" s="1" customFormat="1" ht="16.5" customHeight="1">
      <c r="Y28" s="106"/>
      <c r="BB28" s="2"/>
      <c r="BC28" s="2"/>
      <c r="BD28" s="2"/>
      <c r="BE28" s="2"/>
      <c r="BF28" s="2"/>
      <c r="BG28" s="2"/>
      <c r="BH28" s="2"/>
      <c r="BI28" s="2"/>
      <c r="BJ28" s="2"/>
      <c r="BK28" s="3"/>
      <c r="BL28" s="3"/>
      <c r="BM28" s="3"/>
      <c r="BN28" s="3"/>
      <c r="BO28" s="3"/>
      <c r="BP28" s="3"/>
      <c r="BQ28" s="3"/>
      <c r="BR28" s="4"/>
      <c r="BS28" s="5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</row>
    <row r="29" spans="2:151" s="24" customFormat="1" ht="16.5" customHeight="1">
      <c r="B29" s="33" t="s">
        <v>9</v>
      </c>
      <c r="N29" s="18"/>
      <c r="Y29" s="106"/>
      <c r="BB29" s="29"/>
      <c r="BC29" s="29"/>
      <c r="BD29" s="29"/>
      <c r="BE29" s="29"/>
      <c r="BF29" s="29"/>
      <c r="BG29" s="29"/>
      <c r="BH29" s="29"/>
      <c r="BI29" s="29"/>
      <c r="BJ29" s="29"/>
      <c r="BK29" s="25"/>
      <c r="BL29" s="25"/>
      <c r="BM29" s="25"/>
      <c r="BN29" s="25"/>
      <c r="BO29" s="25"/>
      <c r="BP29" s="25"/>
      <c r="BQ29" s="25"/>
      <c r="BR29" s="26"/>
      <c r="BS29" s="27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</row>
    <row r="30" spans="25:144" s="1" customFormat="1" ht="16.5" customHeight="1" thickBot="1">
      <c r="Y30" s="106" t="s">
        <v>43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</row>
    <row r="31" spans="1:152" s="1" customFormat="1" ht="16.5" customHeight="1" thickBot="1">
      <c r="A31" s="35"/>
      <c r="B31" s="425" t="s">
        <v>10</v>
      </c>
      <c r="C31" s="202"/>
      <c r="D31" s="200" t="s">
        <v>47</v>
      </c>
      <c r="E31" s="201"/>
      <c r="F31" s="202"/>
      <c r="G31" s="200" t="s">
        <v>11</v>
      </c>
      <c r="H31" s="201"/>
      <c r="I31" s="202"/>
      <c r="J31" s="200" t="s">
        <v>49</v>
      </c>
      <c r="K31" s="201"/>
      <c r="L31" s="201"/>
      <c r="M31" s="202"/>
      <c r="N31" s="200" t="s">
        <v>12</v>
      </c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  <c r="BE31" s="200" t="s">
        <v>13</v>
      </c>
      <c r="BF31" s="201"/>
      <c r="BG31" s="201"/>
      <c r="BH31" s="201"/>
      <c r="BI31" s="201"/>
      <c r="BJ31" s="90"/>
      <c r="BK31" s="91"/>
      <c r="BL31" s="91"/>
      <c r="BM31" s="91"/>
      <c r="BN31" s="91"/>
      <c r="EC31" s="25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</row>
    <row r="32" spans="1:152" s="40" customFormat="1" ht="16.5" customHeight="1">
      <c r="A32" s="35"/>
      <c r="B32" s="316">
        <v>1</v>
      </c>
      <c r="C32" s="317"/>
      <c r="D32" s="172">
        <f>Ergebniseingabe!D31</f>
        <v>1</v>
      </c>
      <c r="E32" s="173"/>
      <c r="F32" s="174"/>
      <c r="G32" s="172" t="str">
        <f>Ergebniseingabe!G31</f>
        <v>A</v>
      </c>
      <c r="H32" s="173"/>
      <c r="I32" s="174"/>
      <c r="J32" s="303">
        <f>Ergebniseingabe!J31</f>
        <v>0.375</v>
      </c>
      <c r="K32" s="304"/>
      <c r="L32" s="304"/>
      <c r="M32" s="305"/>
      <c r="N32" s="177" t="str">
        <f>Ergebniseingabe!N31</f>
        <v>SV Rosellen 3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39" t="s">
        <v>16</v>
      </c>
      <c r="AJ32" s="178" t="str">
        <f>Ergebniseingabe!AJ31</f>
        <v>DSC 99 Düsseldorf</v>
      </c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270"/>
      <c r="BE32" s="463">
        <f>IF(Ergebniseingabe!BE31="","",Ergebniseingabe!BE31)</f>
      </c>
      <c r="BF32" s="464"/>
      <c r="BG32" s="464"/>
      <c r="BH32" s="459">
        <f>IF(Ergebniseingabe!BH31="","",Ergebniseingabe!BH31)</f>
      </c>
      <c r="BI32" s="460"/>
      <c r="BJ32" s="92"/>
      <c r="BK32" s="93"/>
      <c r="BL32" s="93"/>
      <c r="BM32" s="93"/>
      <c r="BN32" s="93"/>
      <c r="EC32" s="2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1" customFormat="1" ht="16.5" customHeight="1" thickBot="1">
      <c r="A33" s="35"/>
      <c r="B33" s="338">
        <v>2</v>
      </c>
      <c r="C33" s="339"/>
      <c r="D33" s="203">
        <f>Ergebniseingabe!D32</f>
        <v>2</v>
      </c>
      <c r="E33" s="204"/>
      <c r="F33" s="205"/>
      <c r="G33" s="203" t="str">
        <f>Ergebniseingabe!G32</f>
        <v>A</v>
      </c>
      <c r="H33" s="204"/>
      <c r="I33" s="205"/>
      <c r="J33" s="298">
        <f>Ergebniseingabe!J32</f>
        <v>0.375</v>
      </c>
      <c r="K33" s="299"/>
      <c r="L33" s="299"/>
      <c r="M33" s="300"/>
      <c r="N33" s="285" t="str">
        <f>Ergebniseingabe!N32</f>
        <v>TuS Hackenbroich</v>
      </c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49" t="s">
        <v>16</v>
      </c>
      <c r="AJ33" s="286" t="str">
        <f>Ergebniseingabe!AJ32</f>
        <v>DJK Viktoria Frechen</v>
      </c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306"/>
      <c r="BE33" s="461">
        <f>IF(Ergebniseingabe!BE32="","",Ergebniseingabe!BE32)</f>
      </c>
      <c r="BF33" s="462"/>
      <c r="BG33" s="462"/>
      <c r="BH33" s="457">
        <f>IF(Ergebniseingabe!BH32="","",Ergebniseingabe!BH32)</f>
      </c>
      <c r="BI33" s="458"/>
      <c r="BJ33" s="92"/>
      <c r="BK33" s="93"/>
      <c r="BL33" s="93"/>
      <c r="BM33" s="93"/>
      <c r="BN33" s="93"/>
      <c r="EC33" s="2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spans="1:152" s="1" customFormat="1" ht="16.5" customHeight="1">
      <c r="A34" s="35"/>
      <c r="B34" s="316">
        <v>3</v>
      </c>
      <c r="C34" s="317"/>
      <c r="D34" s="206">
        <f>Ergebniseingabe!D33</f>
        <v>1</v>
      </c>
      <c r="E34" s="207"/>
      <c r="F34" s="208"/>
      <c r="G34" s="206" t="str">
        <f>Ergebniseingabe!G33</f>
        <v>B</v>
      </c>
      <c r="H34" s="207"/>
      <c r="I34" s="208"/>
      <c r="J34" s="303">
        <f>Ergebniseingabe!J33</f>
        <v>0.3888888888888889</v>
      </c>
      <c r="K34" s="304"/>
      <c r="L34" s="304"/>
      <c r="M34" s="305"/>
      <c r="N34" s="177" t="str">
        <f>Ergebniseingabe!N33</f>
        <v>SV Rosellen 1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39" t="s">
        <v>16</v>
      </c>
      <c r="AJ34" s="178" t="str">
        <f>Ergebniseingabe!AJ33</f>
        <v>SV Nütterden</v>
      </c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270"/>
      <c r="BE34" s="463">
        <f>IF(Ergebniseingabe!BE33="","",Ergebniseingabe!BE33)</f>
      </c>
      <c r="BF34" s="464"/>
      <c r="BG34" s="464"/>
      <c r="BH34" s="459">
        <f>IF(Ergebniseingabe!BH33="","",Ergebniseingabe!BH33)</f>
      </c>
      <c r="BI34" s="460"/>
      <c r="BJ34" s="92"/>
      <c r="BK34" s="93"/>
      <c r="BL34" s="93"/>
      <c r="BM34" s="93"/>
      <c r="BN34" s="93"/>
      <c r="EC34" s="2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1" customFormat="1" ht="16.5" customHeight="1" thickBot="1">
      <c r="A35" s="35"/>
      <c r="B35" s="338">
        <v>4</v>
      </c>
      <c r="C35" s="339"/>
      <c r="D35" s="209">
        <f>Ergebniseingabe!D34</f>
        <v>2</v>
      </c>
      <c r="E35" s="210"/>
      <c r="F35" s="211"/>
      <c r="G35" s="209" t="str">
        <f>Ergebniseingabe!G34</f>
        <v>B</v>
      </c>
      <c r="H35" s="210"/>
      <c r="I35" s="211"/>
      <c r="J35" s="298">
        <f>Ergebniseingabe!J34</f>
        <v>0.3888888888888889</v>
      </c>
      <c r="K35" s="299"/>
      <c r="L35" s="299"/>
      <c r="M35" s="300"/>
      <c r="N35" s="285" t="str">
        <f>Ergebniseingabe!N34</f>
        <v>1. FC Quadrath Ichendorf</v>
      </c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49" t="s">
        <v>16</v>
      </c>
      <c r="AJ35" s="286" t="str">
        <f>Ergebniseingabe!AJ34</f>
        <v>SC Blau-Weiß 06 Köln</v>
      </c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306"/>
      <c r="BE35" s="461">
        <f>IF(Ergebniseingabe!BE34="","",Ergebniseingabe!BE34)</f>
      </c>
      <c r="BF35" s="462"/>
      <c r="BG35" s="462"/>
      <c r="BH35" s="457">
        <f>IF(Ergebniseingabe!BH34="","",Ergebniseingabe!BH34)</f>
      </c>
      <c r="BI35" s="458"/>
      <c r="BJ35" s="92"/>
      <c r="BK35" s="93"/>
      <c r="BL35" s="93"/>
      <c r="BM35" s="93"/>
      <c r="BN35" s="93"/>
      <c r="EC35" s="2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152" s="1" customFormat="1" ht="16.5" customHeight="1">
      <c r="A36" s="35"/>
      <c r="B36" s="316">
        <v>5</v>
      </c>
      <c r="C36" s="317"/>
      <c r="D36" s="212">
        <f>Ergebniseingabe!D35</f>
        <v>1</v>
      </c>
      <c r="E36" s="213"/>
      <c r="F36" s="214"/>
      <c r="G36" s="212" t="str">
        <f>Ergebniseingabe!G35</f>
        <v>C</v>
      </c>
      <c r="H36" s="213"/>
      <c r="I36" s="214"/>
      <c r="J36" s="303">
        <f>Ergebniseingabe!J35</f>
        <v>0.4027777777777778</v>
      </c>
      <c r="K36" s="304"/>
      <c r="L36" s="304"/>
      <c r="M36" s="305"/>
      <c r="N36" s="177" t="str">
        <f>Ergebniseingabe!N35</f>
        <v>SV Rosellen 2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39" t="s">
        <v>16</v>
      </c>
      <c r="AJ36" s="178" t="str">
        <f>Ergebniseingabe!AJ35</f>
        <v>SG Orken-Noithausen</v>
      </c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270"/>
      <c r="BE36" s="463">
        <f>IF(Ergebniseingabe!BE35="","",Ergebniseingabe!BE35)</f>
      </c>
      <c r="BF36" s="464"/>
      <c r="BG36" s="464"/>
      <c r="BH36" s="459">
        <f>IF(Ergebniseingabe!BH35="","",Ergebniseingabe!BH35)</f>
      </c>
      <c r="BI36" s="460"/>
      <c r="BJ36" s="92"/>
      <c r="BK36" s="93"/>
      <c r="BL36" s="93"/>
      <c r="BM36" s="93"/>
      <c r="BN36" s="93"/>
      <c r="EC36" s="2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</row>
    <row r="37" spans="1:152" s="1" customFormat="1" ht="16.5" customHeight="1" thickBot="1">
      <c r="A37" s="35"/>
      <c r="B37" s="338">
        <v>6</v>
      </c>
      <c r="C37" s="339"/>
      <c r="D37" s="195">
        <f>Ergebniseingabe!D36</f>
        <v>2</v>
      </c>
      <c r="E37" s="196"/>
      <c r="F37" s="197"/>
      <c r="G37" s="195" t="str">
        <f>Ergebniseingabe!G36</f>
        <v>C</v>
      </c>
      <c r="H37" s="196"/>
      <c r="I37" s="197"/>
      <c r="J37" s="298">
        <f>Ergebniseingabe!J36</f>
        <v>0.4027777777777778</v>
      </c>
      <c r="K37" s="299"/>
      <c r="L37" s="299"/>
      <c r="M37" s="300"/>
      <c r="N37" s="285" t="str">
        <f>Ergebniseingabe!N36</f>
        <v>SSV Strümp</v>
      </c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49" t="s">
        <v>16</v>
      </c>
      <c r="AJ37" s="286" t="str">
        <f>Ergebniseingabe!AJ36</f>
        <v>DJK Hoisten</v>
      </c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306"/>
      <c r="BE37" s="461">
        <f>IF(Ergebniseingabe!BE36="","",Ergebniseingabe!BE36)</f>
      </c>
      <c r="BF37" s="462"/>
      <c r="BG37" s="462"/>
      <c r="BH37" s="457">
        <f>IF(Ergebniseingabe!BH36="","",Ergebniseingabe!BH36)</f>
      </c>
      <c r="BI37" s="458"/>
      <c r="BJ37" s="92"/>
      <c r="BK37" s="93"/>
      <c r="BL37" s="93"/>
      <c r="BM37" s="93"/>
      <c r="BN37" s="93"/>
      <c r="EC37" s="3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</row>
    <row r="38" spans="1:152" s="1" customFormat="1" ht="16.5" customHeight="1">
      <c r="A38" s="35"/>
      <c r="B38" s="316">
        <v>7</v>
      </c>
      <c r="C38" s="317"/>
      <c r="D38" s="172">
        <f>Ergebniseingabe!D37</f>
        <v>1</v>
      </c>
      <c r="E38" s="173"/>
      <c r="F38" s="174"/>
      <c r="G38" s="172" t="str">
        <f>Ergebniseingabe!G37</f>
        <v>A</v>
      </c>
      <c r="H38" s="173"/>
      <c r="I38" s="174"/>
      <c r="J38" s="303">
        <f>Ergebniseingabe!J37</f>
        <v>0.4166666666666667</v>
      </c>
      <c r="K38" s="304"/>
      <c r="L38" s="304"/>
      <c r="M38" s="305"/>
      <c r="N38" s="177" t="str">
        <f>Ergebniseingabe!N37</f>
        <v>DJK Viktoria Frechen</v>
      </c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39" t="s">
        <v>16</v>
      </c>
      <c r="AJ38" s="178" t="str">
        <f>Ergebniseingabe!AJ37</f>
        <v>SV Rosellen 3</v>
      </c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270"/>
      <c r="BE38" s="463">
        <f>IF(Ergebniseingabe!BE37="","",Ergebniseingabe!BE37)</f>
      </c>
      <c r="BF38" s="464"/>
      <c r="BG38" s="464"/>
      <c r="BH38" s="459">
        <f>IF(Ergebniseingabe!BH37="","",Ergebniseingabe!BH37)</f>
      </c>
      <c r="BI38" s="460"/>
      <c r="BJ38" s="92"/>
      <c r="BK38" s="93"/>
      <c r="BL38" s="93"/>
      <c r="BM38" s="93"/>
      <c r="BN38" s="93"/>
      <c r="EC38" s="41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152" s="1" customFormat="1" ht="16.5" customHeight="1" thickBot="1">
      <c r="A39" s="35"/>
      <c r="B39" s="338">
        <v>8</v>
      </c>
      <c r="C39" s="339"/>
      <c r="D39" s="203">
        <f>Ergebniseingabe!D38</f>
        <v>2</v>
      </c>
      <c r="E39" s="204"/>
      <c r="F39" s="205"/>
      <c r="G39" s="203" t="str">
        <f>Ergebniseingabe!G38</f>
        <v>A</v>
      </c>
      <c r="H39" s="204"/>
      <c r="I39" s="205"/>
      <c r="J39" s="298">
        <f>Ergebniseingabe!J38</f>
        <v>0.4166666666666667</v>
      </c>
      <c r="K39" s="299"/>
      <c r="L39" s="299"/>
      <c r="M39" s="300"/>
      <c r="N39" s="285" t="str">
        <f>Ergebniseingabe!N38</f>
        <v>DSC 99 Düsseldorf</v>
      </c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49" t="s">
        <v>16</v>
      </c>
      <c r="AJ39" s="286" t="str">
        <f>Ergebniseingabe!AJ38</f>
        <v>TuS Hackenbroich</v>
      </c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306"/>
      <c r="BE39" s="461">
        <f>IF(Ergebniseingabe!BE38="","",Ergebniseingabe!BE38)</f>
      </c>
      <c r="BF39" s="462"/>
      <c r="BG39" s="462"/>
      <c r="BH39" s="457">
        <f>IF(Ergebniseingabe!BH38="","",Ergebniseingabe!BH38)</f>
      </c>
      <c r="BI39" s="458"/>
      <c r="BJ39" s="92"/>
      <c r="BK39" s="93"/>
      <c r="BL39" s="93"/>
      <c r="BM39" s="93"/>
      <c r="BN39" s="93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s="1" customFormat="1" ht="16.5" customHeight="1">
      <c r="A40" s="35"/>
      <c r="B40" s="316">
        <v>9</v>
      </c>
      <c r="C40" s="317"/>
      <c r="D40" s="206">
        <f>Ergebniseingabe!D39</f>
        <v>1</v>
      </c>
      <c r="E40" s="207"/>
      <c r="F40" s="208"/>
      <c r="G40" s="206" t="str">
        <f>Ergebniseingabe!G39</f>
        <v>B</v>
      </c>
      <c r="H40" s="207"/>
      <c r="I40" s="208"/>
      <c r="J40" s="303">
        <f>Ergebniseingabe!J39</f>
        <v>0.4305555555555556</v>
      </c>
      <c r="K40" s="304"/>
      <c r="L40" s="304"/>
      <c r="M40" s="305"/>
      <c r="N40" s="177" t="str">
        <f>Ergebniseingabe!N39</f>
        <v>SC Blau-Weiß 06 Köln</v>
      </c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39" t="s">
        <v>16</v>
      </c>
      <c r="AJ40" s="178" t="str">
        <f>Ergebniseingabe!AJ39</f>
        <v>SV Rosellen 1</v>
      </c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270"/>
      <c r="BE40" s="463">
        <f>IF(Ergebniseingabe!BE39="","",Ergebniseingabe!BE39)</f>
      </c>
      <c r="BF40" s="464"/>
      <c r="BG40" s="464"/>
      <c r="BH40" s="459">
        <f>IF(Ergebniseingabe!BH39="","",Ergebniseingabe!BH39)</f>
      </c>
      <c r="BI40" s="460"/>
      <c r="BJ40" s="92"/>
      <c r="BK40" s="93"/>
      <c r="BL40" s="93"/>
      <c r="BM40" s="93"/>
      <c r="BN40" s="93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s="1" customFormat="1" ht="16.5" customHeight="1" thickBot="1">
      <c r="A41" s="35"/>
      <c r="B41" s="338">
        <v>10</v>
      </c>
      <c r="C41" s="339"/>
      <c r="D41" s="209">
        <f>Ergebniseingabe!D40</f>
        <v>2</v>
      </c>
      <c r="E41" s="210"/>
      <c r="F41" s="211"/>
      <c r="G41" s="209" t="str">
        <f>Ergebniseingabe!G40</f>
        <v>B</v>
      </c>
      <c r="H41" s="210"/>
      <c r="I41" s="211"/>
      <c r="J41" s="298">
        <f>Ergebniseingabe!J40</f>
        <v>0.4305555555555556</v>
      </c>
      <c r="K41" s="299"/>
      <c r="L41" s="299"/>
      <c r="M41" s="300"/>
      <c r="N41" s="285" t="str">
        <f>Ergebniseingabe!N40</f>
        <v>SV Nütterden</v>
      </c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49" t="s">
        <v>16</v>
      </c>
      <c r="AJ41" s="286" t="str">
        <f>Ergebniseingabe!AJ40</f>
        <v>1. FC Quadrath Ichendorf</v>
      </c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306"/>
      <c r="BE41" s="461">
        <f>IF(Ergebniseingabe!BE40="","",Ergebniseingabe!BE40)</f>
      </c>
      <c r="BF41" s="462"/>
      <c r="BG41" s="462"/>
      <c r="BH41" s="457">
        <f>IF(Ergebniseingabe!BH40="","",Ergebniseingabe!BH40)</f>
      </c>
      <c r="BI41" s="458"/>
      <c r="BJ41" s="92"/>
      <c r="BK41" s="93"/>
      <c r="BL41" s="93"/>
      <c r="BM41" s="93"/>
      <c r="BN41" s="93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s="1" customFormat="1" ht="16.5" customHeight="1">
      <c r="A42" s="35"/>
      <c r="B42" s="316">
        <v>11</v>
      </c>
      <c r="C42" s="317"/>
      <c r="D42" s="212">
        <f>Ergebniseingabe!D41</f>
        <v>1</v>
      </c>
      <c r="E42" s="213"/>
      <c r="F42" s="214"/>
      <c r="G42" s="212" t="str">
        <f>Ergebniseingabe!G41</f>
        <v>C</v>
      </c>
      <c r="H42" s="213"/>
      <c r="I42" s="214"/>
      <c r="J42" s="303">
        <f>Ergebniseingabe!J41</f>
        <v>0.4444444444444445</v>
      </c>
      <c r="K42" s="304"/>
      <c r="L42" s="304"/>
      <c r="M42" s="305"/>
      <c r="N42" s="177" t="str">
        <f>Ergebniseingabe!N41</f>
        <v>DJK Hoisten</v>
      </c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39" t="s">
        <v>16</v>
      </c>
      <c r="AJ42" s="178" t="str">
        <f>Ergebniseingabe!AJ41</f>
        <v>SV Rosellen 2</v>
      </c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270"/>
      <c r="BE42" s="463">
        <f>IF(Ergebniseingabe!BE41="","",Ergebniseingabe!BE41)</f>
      </c>
      <c r="BF42" s="464"/>
      <c r="BG42" s="464"/>
      <c r="BH42" s="459">
        <f>IF(Ergebniseingabe!BH41="","",Ergebniseingabe!BH41)</f>
      </c>
      <c r="BI42" s="460"/>
      <c r="BJ42" s="92"/>
      <c r="BK42" s="93"/>
      <c r="BL42" s="93"/>
      <c r="BM42" s="93"/>
      <c r="BN42" s="93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2" s="1" customFormat="1" ht="16.5" customHeight="1" thickBot="1">
      <c r="A43" s="35"/>
      <c r="B43" s="338">
        <v>12</v>
      </c>
      <c r="C43" s="339"/>
      <c r="D43" s="195">
        <f>Ergebniseingabe!D42</f>
        <v>2</v>
      </c>
      <c r="E43" s="196"/>
      <c r="F43" s="197"/>
      <c r="G43" s="195" t="str">
        <f>Ergebniseingabe!G42</f>
        <v>C</v>
      </c>
      <c r="H43" s="196"/>
      <c r="I43" s="197"/>
      <c r="J43" s="298">
        <f>Ergebniseingabe!J42</f>
        <v>0.4444444444444445</v>
      </c>
      <c r="K43" s="299"/>
      <c r="L43" s="299"/>
      <c r="M43" s="300"/>
      <c r="N43" s="285" t="str">
        <f>Ergebniseingabe!N42</f>
        <v>SG Orken-Noithausen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49" t="s">
        <v>16</v>
      </c>
      <c r="AJ43" s="286" t="str">
        <f>Ergebniseingabe!AJ42</f>
        <v>SSV Strümp</v>
      </c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306"/>
      <c r="BE43" s="461">
        <f>IF(Ergebniseingabe!BE42="","",Ergebniseingabe!BE42)</f>
      </c>
      <c r="BF43" s="462"/>
      <c r="BG43" s="462"/>
      <c r="BH43" s="457">
        <f>IF(Ergebniseingabe!BH42="","",Ergebniseingabe!BH42)</f>
      </c>
      <c r="BI43" s="458"/>
      <c r="BJ43" s="92"/>
      <c r="BK43" s="93"/>
      <c r="BL43" s="93"/>
      <c r="BM43" s="93"/>
      <c r="BN43" s="93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</row>
    <row r="44" spans="1:152" s="1" customFormat="1" ht="16.5" customHeight="1">
      <c r="A44" s="35"/>
      <c r="B44" s="316">
        <v>13</v>
      </c>
      <c r="C44" s="317"/>
      <c r="D44" s="172">
        <f>Ergebniseingabe!D43</f>
        <v>1</v>
      </c>
      <c r="E44" s="173"/>
      <c r="F44" s="174"/>
      <c r="G44" s="172" t="str">
        <f>Ergebniseingabe!G43</f>
        <v>A</v>
      </c>
      <c r="H44" s="173"/>
      <c r="I44" s="174"/>
      <c r="J44" s="303">
        <f>Ergebniseingabe!J43</f>
        <v>0.45833333333333337</v>
      </c>
      <c r="K44" s="304"/>
      <c r="L44" s="304"/>
      <c r="M44" s="305"/>
      <c r="N44" s="177" t="str">
        <f>Ergebniseingabe!N43</f>
        <v>SV Rosellen 3</v>
      </c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39" t="s">
        <v>16</v>
      </c>
      <c r="AJ44" s="178" t="str">
        <f>Ergebniseingabe!AJ43</f>
        <v>TuS Hackenbroich</v>
      </c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270"/>
      <c r="BE44" s="463">
        <f>IF(Ergebniseingabe!BE43="","",Ergebniseingabe!BE43)</f>
      </c>
      <c r="BF44" s="464"/>
      <c r="BG44" s="464"/>
      <c r="BH44" s="459">
        <f>IF(Ergebniseingabe!BH43="","",Ergebniseingabe!BH43)</f>
      </c>
      <c r="BI44" s="460"/>
      <c r="BJ44" s="92"/>
      <c r="BK44" s="93"/>
      <c r="BL44" s="93"/>
      <c r="BM44" s="93"/>
      <c r="BN44" s="93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152" s="1" customFormat="1" ht="16.5" customHeight="1" thickBot="1">
      <c r="A45" s="35"/>
      <c r="B45" s="338">
        <v>14</v>
      </c>
      <c r="C45" s="339"/>
      <c r="D45" s="203">
        <f>Ergebniseingabe!D44</f>
        <v>2</v>
      </c>
      <c r="E45" s="204"/>
      <c r="F45" s="205"/>
      <c r="G45" s="203" t="str">
        <f>Ergebniseingabe!G44</f>
        <v>A</v>
      </c>
      <c r="H45" s="204"/>
      <c r="I45" s="205"/>
      <c r="J45" s="298">
        <f>Ergebniseingabe!J44</f>
        <v>0.45833333333333337</v>
      </c>
      <c r="K45" s="299"/>
      <c r="L45" s="299"/>
      <c r="M45" s="300"/>
      <c r="N45" s="285" t="str">
        <f>Ergebniseingabe!N44</f>
        <v>DSC 99 Düsseldorf</v>
      </c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49" t="s">
        <v>16</v>
      </c>
      <c r="AJ45" s="286" t="str">
        <f>Ergebniseingabe!AJ44</f>
        <v>DJK Viktoria Frechen</v>
      </c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306"/>
      <c r="BE45" s="461">
        <f>IF(Ergebniseingabe!BE44="","",Ergebniseingabe!BE44)</f>
      </c>
      <c r="BF45" s="462"/>
      <c r="BG45" s="462"/>
      <c r="BH45" s="457">
        <f>IF(Ergebniseingabe!BH44="","",Ergebniseingabe!BH44)</f>
      </c>
      <c r="BI45" s="458"/>
      <c r="BJ45" s="92"/>
      <c r="BK45" s="93"/>
      <c r="BL45" s="93"/>
      <c r="BM45" s="93"/>
      <c r="BN45" s="93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</row>
    <row r="46" spans="1:152" s="1" customFormat="1" ht="16.5" customHeight="1">
      <c r="A46" s="35"/>
      <c r="B46" s="316">
        <v>15</v>
      </c>
      <c r="C46" s="317"/>
      <c r="D46" s="206">
        <f>Ergebniseingabe!D45</f>
        <v>1</v>
      </c>
      <c r="E46" s="207"/>
      <c r="F46" s="208"/>
      <c r="G46" s="206" t="str">
        <f>Ergebniseingabe!G45</f>
        <v>B</v>
      </c>
      <c r="H46" s="207"/>
      <c r="I46" s="208"/>
      <c r="J46" s="303">
        <f>Ergebniseingabe!J45</f>
        <v>0.47222222222222227</v>
      </c>
      <c r="K46" s="304"/>
      <c r="L46" s="304"/>
      <c r="M46" s="305"/>
      <c r="N46" s="177" t="str">
        <f>Ergebniseingabe!N45</f>
        <v>SV Rosellen 1</v>
      </c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39" t="s">
        <v>16</v>
      </c>
      <c r="AJ46" s="178" t="str">
        <f>Ergebniseingabe!AJ45</f>
        <v>1. FC Quadrath Ichendorf</v>
      </c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270"/>
      <c r="BE46" s="463">
        <f>IF(Ergebniseingabe!BE45="","",Ergebniseingabe!BE45)</f>
      </c>
      <c r="BF46" s="464"/>
      <c r="BG46" s="464"/>
      <c r="BH46" s="459">
        <f>IF(Ergebniseingabe!BH45="","",Ergebniseingabe!BH45)</f>
      </c>
      <c r="BI46" s="460"/>
      <c r="BJ46" s="92"/>
      <c r="BK46" s="93"/>
      <c r="BL46" s="93"/>
      <c r="BM46" s="93"/>
      <c r="BN46" s="93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</row>
    <row r="47" spans="1:152" s="1" customFormat="1" ht="16.5" customHeight="1" thickBot="1">
      <c r="A47" s="35"/>
      <c r="B47" s="338">
        <v>16</v>
      </c>
      <c r="C47" s="339"/>
      <c r="D47" s="209">
        <f>Ergebniseingabe!D46</f>
        <v>2</v>
      </c>
      <c r="E47" s="210"/>
      <c r="F47" s="211"/>
      <c r="G47" s="209" t="str">
        <f>Ergebniseingabe!G46</f>
        <v>B</v>
      </c>
      <c r="H47" s="210"/>
      <c r="I47" s="211"/>
      <c r="J47" s="298">
        <f>Ergebniseingabe!J46</f>
        <v>0.47222222222222227</v>
      </c>
      <c r="K47" s="299"/>
      <c r="L47" s="299"/>
      <c r="M47" s="300"/>
      <c r="N47" s="285" t="str">
        <f>Ergebniseingabe!N46</f>
        <v>SV Nütterden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49" t="s">
        <v>16</v>
      </c>
      <c r="AJ47" s="286" t="str">
        <f>Ergebniseingabe!AJ46</f>
        <v>SC Blau-Weiß 06 Köln</v>
      </c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306"/>
      <c r="BE47" s="461">
        <f>IF(Ergebniseingabe!BE46="","",Ergebniseingabe!BE46)</f>
      </c>
      <c r="BF47" s="462"/>
      <c r="BG47" s="462"/>
      <c r="BH47" s="457">
        <f>IF(Ergebniseingabe!BH46="","",Ergebniseingabe!BH46)</f>
      </c>
      <c r="BI47" s="458"/>
      <c r="BJ47" s="92"/>
      <c r="BK47" s="93"/>
      <c r="BL47" s="93"/>
      <c r="BM47" s="93"/>
      <c r="BN47" s="93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152" s="1" customFormat="1" ht="16.5" customHeight="1">
      <c r="A48" s="35"/>
      <c r="B48" s="316">
        <v>17</v>
      </c>
      <c r="C48" s="317"/>
      <c r="D48" s="212">
        <f>Ergebniseingabe!D47</f>
        <v>1</v>
      </c>
      <c r="E48" s="213"/>
      <c r="F48" s="214"/>
      <c r="G48" s="212" t="str">
        <f>Ergebniseingabe!G47</f>
        <v>C</v>
      </c>
      <c r="H48" s="213"/>
      <c r="I48" s="214"/>
      <c r="J48" s="303">
        <f>Ergebniseingabe!J47</f>
        <v>0.48611111111111116</v>
      </c>
      <c r="K48" s="304"/>
      <c r="L48" s="304"/>
      <c r="M48" s="305"/>
      <c r="N48" s="177" t="str">
        <f>Ergebniseingabe!N47</f>
        <v>SV Rosellen 2</v>
      </c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39" t="s">
        <v>16</v>
      </c>
      <c r="AJ48" s="178" t="str">
        <f>Ergebniseingabe!AJ47</f>
        <v>SSV Strümp</v>
      </c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270"/>
      <c r="BE48" s="463">
        <f>IF(Ergebniseingabe!BE47="","",Ergebniseingabe!BE47)</f>
      </c>
      <c r="BF48" s="464"/>
      <c r="BG48" s="464"/>
      <c r="BH48" s="459">
        <f>IF(Ergebniseingabe!BH47="","",Ergebniseingabe!BH47)</f>
      </c>
      <c r="BI48" s="460"/>
      <c r="BJ48" s="92"/>
      <c r="BK48" s="93"/>
      <c r="BL48" s="93"/>
      <c r="BM48" s="93"/>
      <c r="BN48" s="93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</row>
    <row r="49" spans="1:152" s="1" customFormat="1" ht="16.5" customHeight="1" thickBot="1">
      <c r="A49" s="35"/>
      <c r="B49" s="338">
        <v>18</v>
      </c>
      <c r="C49" s="339"/>
      <c r="D49" s="195">
        <f>Ergebniseingabe!D48</f>
        <v>2</v>
      </c>
      <c r="E49" s="196"/>
      <c r="F49" s="197"/>
      <c r="G49" s="195" t="str">
        <f>Ergebniseingabe!G48</f>
        <v>C</v>
      </c>
      <c r="H49" s="196"/>
      <c r="I49" s="197"/>
      <c r="J49" s="298">
        <f>Ergebniseingabe!J48</f>
        <v>0.48611111111111116</v>
      </c>
      <c r="K49" s="299"/>
      <c r="L49" s="299"/>
      <c r="M49" s="300"/>
      <c r="N49" s="285" t="str">
        <f>Ergebniseingabe!N48</f>
        <v>SG Orken-Noithausen</v>
      </c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49" t="s">
        <v>16</v>
      </c>
      <c r="AJ49" s="286" t="str">
        <f>Ergebniseingabe!AJ48</f>
        <v>DJK Hoisten</v>
      </c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306"/>
      <c r="BE49" s="472">
        <f>IF(Ergebniseingabe!BE48="","",Ergebniseingabe!BE48)</f>
      </c>
      <c r="BF49" s="473"/>
      <c r="BG49" s="473"/>
      <c r="BH49" s="274">
        <f>IF(Ergebniseingabe!BH48="","",Ergebniseingabe!BH48)</f>
      </c>
      <c r="BI49" s="474"/>
      <c r="BJ49" s="92"/>
      <c r="BK49" s="93"/>
      <c r="BL49" s="93"/>
      <c r="BM49" s="93"/>
      <c r="BN49" s="93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</row>
    <row r="50" spans="2:149" s="1" customFormat="1" ht="16.5" customHeight="1">
      <c r="B50" s="34"/>
      <c r="C50" s="34"/>
      <c r="D50" s="34"/>
      <c r="E50" s="34"/>
      <c r="F50" s="34"/>
      <c r="G50" s="34"/>
      <c r="H50" s="34"/>
      <c r="I50" s="34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2"/>
      <c r="AX50" s="52"/>
      <c r="AY50" s="52"/>
      <c r="AZ50" s="52"/>
      <c r="BA50" s="52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54:155" s="1" customFormat="1" ht="7.5" customHeight="1"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5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</row>
    <row r="52" spans="2:155" s="1" customFormat="1" ht="33" customHeight="1">
      <c r="B52" s="456" t="str">
        <f>B2</f>
        <v>SV 1930 Rosellen e.V.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10"/>
      <c r="BC52" s="301" t="s">
        <v>0</v>
      </c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75"/>
      <c r="BP52" s="75"/>
      <c r="BQ52" s="75"/>
      <c r="BR52" s="75"/>
      <c r="BS52" s="3"/>
      <c r="BT52" s="3"/>
      <c r="BU52" s="3"/>
      <c r="BV52" s="4"/>
      <c r="BW52" s="5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</row>
    <row r="53" spans="2:155" s="6" customFormat="1" ht="27" customHeight="1">
      <c r="B53" s="456" t="str">
        <f>B3</f>
        <v>Grosser Dienstleistungen-Cup</v>
      </c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10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75"/>
      <c r="BP53" s="75"/>
      <c r="BQ53" s="75"/>
      <c r="BR53" s="75"/>
      <c r="BS53" s="7"/>
      <c r="BT53" s="7"/>
      <c r="BU53" s="7"/>
      <c r="BV53" s="8"/>
      <c r="BW53" s="9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</row>
    <row r="54" spans="1:155" s="11" customFormat="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3"/>
      <c r="BC54" s="14"/>
      <c r="BD54" s="14"/>
      <c r="BE54" s="14"/>
      <c r="BF54" s="14"/>
      <c r="BG54" s="14"/>
      <c r="BH54" s="14"/>
      <c r="BI54" s="14"/>
      <c r="BJ54" s="14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6"/>
      <c r="BW54" s="17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</row>
    <row r="55" spans="44:155" s="11" customFormat="1" ht="6" customHeight="1"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3"/>
      <c r="BC55" s="14"/>
      <c r="BD55" s="14"/>
      <c r="BE55" s="14"/>
      <c r="BF55" s="14"/>
      <c r="BG55" s="14"/>
      <c r="BH55" s="14"/>
      <c r="BI55" s="14"/>
      <c r="BJ55" s="14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6"/>
      <c r="BW55" s="17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</row>
    <row r="56" spans="2:155" s="18" customFormat="1" ht="15">
      <c r="B56" s="465">
        <f>B6</f>
        <v>42504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19"/>
      <c r="BC56" s="20"/>
      <c r="BD56" s="20"/>
      <c r="BE56" s="20"/>
      <c r="BF56" s="20"/>
      <c r="BG56" s="20"/>
      <c r="BH56" s="20"/>
      <c r="BI56" s="20"/>
      <c r="BJ56" s="20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2"/>
      <c r="BW56" s="23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</row>
    <row r="57" spans="44:155" s="11" customFormat="1" ht="6" customHeight="1"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14"/>
      <c r="BD57" s="14"/>
      <c r="BE57" s="14"/>
      <c r="BF57" s="14"/>
      <c r="BG57" s="14"/>
      <c r="BH57" s="14"/>
      <c r="BI57" s="14"/>
      <c r="BJ57" s="14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6"/>
      <c r="BW57" s="17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</row>
    <row r="58" spans="2:155" s="24" customFormat="1" ht="15">
      <c r="B58" s="466" t="str">
        <f>B8</f>
        <v>Bezirkssportanlage Rosellen, Rosellener Schulstr. 11, 41470 Neuss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18"/>
      <c r="BC58" s="18"/>
      <c r="BD58" s="18"/>
      <c r="BE58" s="18"/>
      <c r="BF58" s="18"/>
      <c r="BG58" s="18"/>
      <c r="BH58" s="18"/>
      <c r="BI58" s="18"/>
      <c r="BJ58" s="18"/>
      <c r="BK58" s="21"/>
      <c r="BL58" s="21"/>
      <c r="BM58" s="21"/>
      <c r="BN58" s="21"/>
      <c r="BO58" s="21"/>
      <c r="BP58" s="21"/>
      <c r="BQ58" s="21"/>
      <c r="BR58" s="21"/>
      <c r="BS58" s="25"/>
      <c r="BT58" s="25"/>
      <c r="BU58" s="25"/>
      <c r="BV58" s="26"/>
      <c r="BW58" s="27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</row>
    <row r="59" spans="54:155" s="11" customFormat="1" ht="6" customHeight="1">
      <c r="BB59" s="14"/>
      <c r="BC59" s="14"/>
      <c r="BD59" s="14"/>
      <c r="BE59" s="14"/>
      <c r="BF59" s="14"/>
      <c r="BG59" s="14"/>
      <c r="BH59" s="14"/>
      <c r="BI59" s="14"/>
      <c r="BJ59" s="14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6"/>
      <c r="BW59" s="17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</row>
    <row r="60" spans="2:115" s="96" customFormat="1" ht="15">
      <c r="B60" s="222" t="s">
        <v>48</v>
      </c>
      <c r="C60" s="222"/>
      <c r="D60" s="222"/>
      <c r="E60" s="222"/>
      <c r="F60" s="222"/>
      <c r="G60" s="222"/>
      <c r="H60" s="471">
        <f>H10</f>
        <v>0.375</v>
      </c>
      <c r="I60" s="471"/>
      <c r="J60" s="471"/>
      <c r="K60" s="471"/>
      <c r="L60" s="96" t="s">
        <v>1</v>
      </c>
      <c r="T60" s="97" t="s">
        <v>2</v>
      </c>
      <c r="U60" s="219">
        <f>U10</f>
        <v>1</v>
      </c>
      <c r="V60" s="219"/>
      <c r="W60" s="98" t="s">
        <v>3</v>
      </c>
      <c r="X60" s="267">
        <f>X10</f>
        <v>17</v>
      </c>
      <c r="Y60" s="267"/>
      <c r="Z60" s="267"/>
      <c r="AA60" s="267"/>
      <c r="AB60" s="267"/>
      <c r="AC60" s="221">
        <f>IF(U60=2,"Halbzeit:","")</f>
      </c>
      <c r="AD60" s="221"/>
      <c r="AE60" s="221"/>
      <c r="AF60" s="221"/>
      <c r="AG60" s="221"/>
      <c r="AH60" s="221"/>
      <c r="AI60" s="267">
        <f>AI10</f>
      </c>
      <c r="AJ60" s="267"/>
      <c r="AK60" s="267"/>
      <c r="AL60" s="267"/>
      <c r="AM60" s="267"/>
      <c r="AN60" s="222" t="s">
        <v>4</v>
      </c>
      <c r="AO60" s="222"/>
      <c r="AP60" s="222"/>
      <c r="AQ60" s="222"/>
      <c r="AR60" s="222"/>
      <c r="AS60" s="222"/>
      <c r="AT60" s="222"/>
      <c r="AU60" s="222"/>
      <c r="AV60" s="222"/>
      <c r="AW60" s="263">
        <f>AW10</f>
        <v>3</v>
      </c>
      <c r="AX60" s="263"/>
      <c r="AY60" s="263"/>
      <c r="AZ60" s="263"/>
      <c r="BA60" s="263"/>
      <c r="BB60" s="99"/>
      <c r="BC60" s="99"/>
      <c r="BD60" s="99"/>
      <c r="BE60" s="100"/>
      <c r="BF60" s="100"/>
      <c r="BG60" s="100"/>
      <c r="BH60" s="101"/>
      <c r="BI60" s="101"/>
      <c r="BJ60" s="101"/>
      <c r="BK60" s="100"/>
      <c r="BL60" s="102"/>
      <c r="BM60" s="102"/>
      <c r="BN60" s="102"/>
      <c r="BO60" s="102"/>
      <c r="BP60" s="102"/>
      <c r="BQ60" s="102"/>
      <c r="BR60" s="103"/>
      <c r="BS60" s="103"/>
      <c r="BT60" s="103"/>
      <c r="BU60" s="103"/>
      <c r="BV60" s="101"/>
      <c r="BW60" s="101"/>
      <c r="BX60" s="101"/>
      <c r="BY60" s="101"/>
      <c r="BZ60" s="101"/>
      <c r="CA60" s="101"/>
      <c r="CB60" s="103"/>
      <c r="CC60" s="103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</row>
    <row r="61" spans="130:153" s="24" customFormat="1" ht="16.5" customHeight="1">
      <c r="DZ61" s="1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</row>
    <row r="62" spans="64:153" s="144" customFormat="1" ht="16.5" customHeight="1" thickBot="1">
      <c r="BL62" s="148"/>
      <c r="BM62" s="148"/>
      <c r="BN62" s="148"/>
      <c r="BO62" s="148"/>
      <c r="BP62" s="148"/>
      <c r="BQ62" s="148"/>
      <c r="BR62" s="148"/>
      <c r="BS62" s="60"/>
      <c r="BT62" s="77"/>
      <c r="BU62" s="77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145"/>
      <c r="DU62" s="145"/>
      <c r="DV62" s="145"/>
      <c r="DW62" s="52"/>
      <c r="DX62" s="52"/>
      <c r="DY62" s="52"/>
      <c r="DZ62" s="60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</row>
    <row r="63" spans="2:153" s="144" customFormat="1" ht="16.5" customHeight="1">
      <c r="B63" s="91"/>
      <c r="C63" s="91"/>
      <c r="D63" s="91"/>
      <c r="E63" s="91"/>
      <c r="F63" s="91"/>
      <c r="G63" s="2"/>
      <c r="H63" s="24"/>
      <c r="I63" s="33" t="s">
        <v>14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335" t="str">
        <f>L74</f>
        <v>SV Rosellen 3</v>
      </c>
      <c r="AH63" s="292"/>
      <c r="AI63" s="292"/>
      <c r="AJ63" s="292" t="str">
        <f>L75</f>
        <v>DSC 99 Düsseldorf</v>
      </c>
      <c r="AK63" s="292"/>
      <c r="AL63" s="292"/>
      <c r="AM63" s="292" t="str">
        <f>L76</f>
        <v>TuS Hackenbroich</v>
      </c>
      <c r="AN63" s="292"/>
      <c r="AO63" s="292"/>
      <c r="AP63" s="292" t="str">
        <f>L77</f>
        <v>DJK Viktoria Frechen</v>
      </c>
      <c r="AQ63" s="292"/>
      <c r="AR63" s="293"/>
      <c r="AS63" s="24"/>
      <c r="AT63" s="24"/>
      <c r="AU63" s="36"/>
      <c r="AV63" s="36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37"/>
      <c r="BJ63" s="37"/>
      <c r="BK63" s="29"/>
      <c r="BL63" s="29"/>
      <c r="BM63" s="29"/>
      <c r="BN63" s="29"/>
      <c r="BO63" s="25"/>
      <c r="BP63" s="148"/>
      <c r="BQ63" s="148"/>
      <c r="BR63" s="148"/>
      <c r="BS63" s="60"/>
      <c r="BT63" s="77"/>
      <c r="BU63" s="77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145"/>
      <c r="DU63" s="145"/>
      <c r="DV63" s="145"/>
      <c r="DW63" s="52"/>
      <c r="DX63" s="52"/>
      <c r="DY63" s="52"/>
      <c r="DZ63" s="60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</row>
    <row r="64" spans="2:153" s="144" customFormat="1" ht="16.5" customHeight="1">
      <c r="B64" s="91"/>
      <c r="C64" s="91"/>
      <c r="D64" s="91"/>
      <c r="E64" s="91"/>
      <c r="F64" s="91"/>
      <c r="G64" s="2"/>
      <c r="H64" s="24"/>
      <c r="I64" s="3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36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5"/>
      <c r="AS64" s="24"/>
      <c r="AT64" s="24"/>
      <c r="AU64" s="36"/>
      <c r="AV64" s="36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37"/>
      <c r="BJ64" s="37"/>
      <c r="BK64" s="29"/>
      <c r="BL64" s="29"/>
      <c r="BM64" s="29"/>
      <c r="BN64" s="29"/>
      <c r="BO64" s="25"/>
      <c r="BP64" s="148"/>
      <c r="BQ64" s="148"/>
      <c r="BR64" s="148"/>
      <c r="BS64" s="60"/>
      <c r="BT64" s="77"/>
      <c r="BU64" s="77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145"/>
      <c r="DU64" s="145"/>
      <c r="DV64" s="145"/>
      <c r="DW64" s="52"/>
      <c r="DX64" s="52"/>
      <c r="DY64" s="52"/>
      <c r="DZ64" s="60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</row>
    <row r="65" spans="2:153" s="144" customFormat="1" ht="16.5" customHeight="1">
      <c r="B65" s="91"/>
      <c r="C65" s="91"/>
      <c r="D65" s="91"/>
      <c r="E65" s="91"/>
      <c r="F65" s="91"/>
      <c r="G65" s="2"/>
      <c r="H65" s="24"/>
      <c r="I65" s="3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36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5"/>
      <c r="AS65" s="24"/>
      <c r="AT65" s="24"/>
      <c r="AU65" s="36"/>
      <c r="AV65" s="36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37"/>
      <c r="BJ65" s="37"/>
      <c r="BK65" s="29"/>
      <c r="BL65" s="29"/>
      <c r="BM65" s="29"/>
      <c r="BN65" s="29"/>
      <c r="BO65" s="25"/>
      <c r="BP65" s="148"/>
      <c r="BQ65" s="148"/>
      <c r="BR65" s="148"/>
      <c r="BS65" s="60"/>
      <c r="BT65" s="77"/>
      <c r="BU65" s="77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145"/>
      <c r="DU65" s="145"/>
      <c r="DV65" s="145"/>
      <c r="DW65" s="52"/>
      <c r="DX65" s="52"/>
      <c r="DY65" s="52"/>
      <c r="DZ65" s="60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</row>
    <row r="66" spans="2:153" s="144" customFormat="1" ht="16.5" customHeight="1">
      <c r="B66" s="91"/>
      <c r="C66" s="91"/>
      <c r="D66" s="91"/>
      <c r="E66" s="91"/>
      <c r="F66" s="91"/>
      <c r="G66" s="2"/>
      <c r="H66" s="24"/>
      <c r="I66" s="3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36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5"/>
      <c r="AS66" s="24"/>
      <c r="AT66" s="24"/>
      <c r="AU66" s="36"/>
      <c r="AV66" s="36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37"/>
      <c r="BJ66" s="37"/>
      <c r="BK66" s="29"/>
      <c r="BL66" s="29"/>
      <c r="BM66" s="29"/>
      <c r="BN66" s="29"/>
      <c r="BO66" s="25"/>
      <c r="BP66" s="148"/>
      <c r="BQ66" s="148"/>
      <c r="BR66" s="148"/>
      <c r="BS66" s="60"/>
      <c r="BT66" s="77"/>
      <c r="BU66" s="77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145"/>
      <c r="DU66" s="145"/>
      <c r="DV66" s="145"/>
      <c r="DW66" s="52"/>
      <c r="DX66" s="52"/>
      <c r="DY66" s="52"/>
      <c r="DZ66" s="60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</row>
    <row r="67" spans="2:151" s="144" customFormat="1" ht="16.5" customHeight="1">
      <c r="B67" s="40"/>
      <c r="C67" s="93"/>
      <c r="D67" s="93"/>
      <c r="E67" s="93"/>
      <c r="F67" s="93"/>
      <c r="G67" s="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336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5"/>
      <c r="AS67" s="24"/>
      <c r="AT67" s="24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7"/>
      <c r="BG67" s="37"/>
      <c r="BH67" s="37"/>
      <c r="BI67" s="37"/>
      <c r="BJ67" s="37"/>
      <c r="BK67" s="29"/>
      <c r="BL67" s="29"/>
      <c r="BM67" s="29"/>
      <c r="BN67" s="29"/>
      <c r="BO67" s="25"/>
      <c r="BP67" s="148"/>
      <c r="BQ67" s="60"/>
      <c r="BR67" s="77"/>
      <c r="BS67" s="77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145"/>
      <c r="DS67" s="145"/>
      <c r="DT67" s="145"/>
      <c r="DU67" s="52"/>
      <c r="DV67" s="52"/>
      <c r="DW67" s="52"/>
      <c r="DX67" s="60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</row>
    <row r="68" spans="2:151" s="144" customFormat="1" ht="16.5" customHeight="1">
      <c r="B68" s="1"/>
      <c r="C68" s="93"/>
      <c r="D68" s="93"/>
      <c r="E68" s="93"/>
      <c r="F68" s="93"/>
      <c r="G68" s="2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336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5"/>
      <c r="AS68" s="24"/>
      <c r="AT68" s="24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7"/>
      <c r="BG68" s="37"/>
      <c r="BH68" s="37"/>
      <c r="BI68" s="37"/>
      <c r="BJ68" s="37"/>
      <c r="BK68" s="29"/>
      <c r="BL68" s="29"/>
      <c r="BM68" s="29"/>
      <c r="BN68" s="29"/>
      <c r="BO68" s="25"/>
      <c r="BP68" s="148"/>
      <c r="BQ68" s="60"/>
      <c r="BR68" s="77"/>
      <c r="BS68" s="77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145"/>
      <c r="DS68" s="145"/>
      <c r="DT68" s="145"/>
      <c r="DU68" s="52"/>
      <c r="DV68" s="52"/>
      <c r="DW68" s="52"/>
      <c r="DX68" s="60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</row>
    <row r="69" spans="2:151" s="144" customFormat="1" ht="16.5" customHeight="1">
      <c r="B69" s="1"/>
      <c r="C69" s="93"/>
      <c r="D69" s="93"/>
      <c r="E69" s="93"/>
      <c r="F69" s="93"/>
      <c r="G69" s="2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336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5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9"/>
      <c r="BG69" s="29"/>
      <c r="BH69" s="29"/>
      <c r="BI69" s="29"/>
      <c r="BJ69" s="29"/>
      <c r="BK69" s="29"/>
      <c r="BL69" s="29"/>
      <c r="BM69" s="29"/>
      <c r="BN69" s="29"/>
      <c r="BO69" s="25"/>
      <c r="BP69" s="148"/>
      <c r="BQ69" s="60"/>
      <c r="BR69" s="77"/>
      <c r="BS69" s="77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145"/>
      <c r="DS69" s="145"/>
      <c r="DT69" s="145"/>
      <c r="DU69" s="52"/>
      <c r="DV69" s="52"/>
      <c r="DW69" s="52"/>
      <c r="DX69" s="60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</row>
    <row r="70" spans="2:151" s="144" customFormat="1" ht="16.5" customHeight="1">
      <c r="B70" s="93"/>
      <c r="C70" s="93"/>
      <c r="D70" s="93"/>
      <c r="E70" s="93"/>
      <c r="F70" s="93"/>
      <c r="G70" s="2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336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5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9"/>
      <c r="BG70" s="29"/>
      <c r="BH70" s="29"/>
      <c r="BI70" s="29"/>
      <c r="BJ70" s="29"/>
      <c r="BK70" s="29"/>
      <c r="BL70" s="29"/>
      <c r="BM70" s="29"/>
      <c r="BN70" s="29"/>
      <c r="BO70" s="25"/>
      <c r="BP70" s="148"/>
      <c r="BQ70" s="60"/>
      <c r="BR70" s="77"/>
      <c r="BS70" s="77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145"/>
      <c r="DS70" s="145"/>
      <c r="DT70" s="145"/>
      <c r="DU70" s="52"/>
      <c r="DV70" s="52"/>
      <c r="DW70" s="52"/>
      <c r="DX70" s="60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</row>
    <row r="71" spans="2:151" s="144" customFormat="1" ht="16.5" customHeight="1">
      <c r="B71" s="93"/>
      <c r="C71" s="93"/>
      <c r="D71" s="93"/>
      <c r="E71" s="93"/>
      <c r="F71" s="93"/>
      <c r="G71" s="2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36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5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9"/>
      <c r="BG71" s="29"/>
      <c r="BH71" s="29"/>
      <c r="BI71" s="29"/>
      <c r="BJ71" s="29"/>
      <c r="BK71" s="29"/>
      <c r="BL71" s="29"/>
      <c r="BM71" s="29"/>
      <c r="BN71" s="29"/>
      <c r="BO71" s="25"/>
      <c r="BP71" s="148"/>
      <c r="BQ71" s="60"/>
      <c r="BR71" s="77"/>
      <c r="BS71" s="77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145"/>
      <c r="DS71" s="145"/>
      <c r="DT71" s="145"/>
      <c r="DU71" s="52"/>
      <c r="DV71" s="52"/>
      <c r="DW71" s="52"/>
      <c r="DX71" s="60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</row>
    <row r="72" spans="2:151" s="144" customFormat="1" ht="16.5" customHeight="1" thickBot="1">
      <c r="B72" s="176" t="s">
        <v>45</v>
      </c>
      <c r="C72" s="176"/>
      <c r="D72" s="176"/>
      <c r="E72" s="176"/>
      <c r="F72" s="176"/>
      <c r="G72" s="176"/>
      <c r="H72" s="17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36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5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3"/>
      <c r="BP72" s="148"/>
      <c r="BQ72" s="60"/>
      <c r="BR72" s="77"/>
      <c r="BS72" s="77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145"/>
      <c r="DS72" s="145"/>
      <c r="DT72" s="145"/>
      <c r="DU72" s="52"/>
      <c r="DV72" s="52"/>
      <c r="DW72" s="52"/>
      <c r="DX72" s="60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</row>
    <row r="73" spans="2:151" s="144" customFormat="1" ht="16.5" customHeight="1" thickBot="1">
      <c r="B73" s="244" t="s">
        <v>46</v>
      </c>
      <c r="C73" s="244"/>
      <c r="D73" s="244"/>
      <c r="E73" s="244"/>
      <c r="F73" s="244" t="s">
        <v>47</v>
      </c>
      <c r="G73" s="244"/>
      <c r="H73" s="244"/>
      <c r="I73" s="41"/>
      <c r="J73" s="394" t="str">
        <f>Ergebniseingabe!$J$62</f>
        <v>Gruppe A</v>
      </c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37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7"/>
      <c r="AS73" s="325" t="s">
        <v>19</v>
      </c>
      <c r="AT73" s="325"/>
      <c r="AU73" s="326"/>
      <c r="AV73" s="360" t="s">
        <v>20</v>
      </c>
      <c r="AW73" s="325"/>
      <c r="AX73" s="326"/>
      <c r="AY73" s="360" t="s">
        <v>21</v>
      </c>
      <c r="AZ73" s="325"/>
      <c r="BA73" s="326"/>
      <c r="BB73" s="360" t="s">
        <v>22</v>
      </c>
      <c r="BC73" s="325"/>
      <c r="BD73" s="326"/>
      <c r="BE73" s="325" t="s">
        <v>23</v>
      </c>
      <c r="BF73" s="325"/>
      <c r="BG73" s="325"/>
      <c r="BH73" s="325"/>
      <c r="BI73" s="325"/>
      <c r="BJ73" s="360" t="s">
        <v>24</v>
      </c>
      <c r="BK73" s="325"/>
      <c r="BL73" s="325"/>
      <c r="BM73" s="360" t="s">
        <v>25</v>
      </c>
      <c r="BN73" s="325"/>
      <c r="BO73" s="361"/>
      <c r="BP73" s="148"/>
      <c r="BQ73" s="60"/>
      <c r="BR73" s="77"/>
      <c r="BS73" s="77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145"/>
      <c r="DS73" s="145"/>
      <c r="DT73" s="145"/>
      <c r="DU73" s="52"/>
      <c r="DV73" s="52"/>
      <c r="DW73" s="52"/>
      <c r="DX73" s="60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</row>
    <row r="74" spans="2:151" s="144" customFormat="1" ht="16.5" customHeight="1">
      <c r="B74" s="470">
        <f>IF(Ergebniseingabe!B63="","",Ergebniseingabe!B63)</f>
      </c>
      <c r="C74" s="470"/>
      <c r="D74" s="470"/>
      <c r="E74" s="470"/>
      <c r="F74" s="470">
        <f>IF(Ergebniseingabe!F63="","",Ergebniseingabe!F63)</f>
      </c>
      <c r="G74" s="470"/>
      <c r="H74" s="470"/>
      <c r="I74" s="1"/>
      <c r="J74" s="245">
        <f>Ergebniseingabe!J63</f>
      </c>
      <c r="K74" s="246"/>
      <c r="L74" s="321" t="str">
        <f>Ergebniseingabe!L63</f>
        <v>SV Rosellen 3</v>
      </c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187"/>
      <c r="AH74" s="187"/>
      <c r="AI74" s="188"/>
      <c r="AJ74" s="329">
        <f>Ergebniseingabe!AJ63</f>
      </c>
      <c r="AK74" s="329"/>
      <c r="AL74" s="329"/>
      <c r="AM74" s="329">
        <f>Ergebniseingabe!AM63</f>
      </c>
      <c r="AN74" s="329"/>
      <c r="AO74" s="329"/>
      <c r="AP74" s="327">
        <f>Ergebniseingabe!AP63</f>
      </c>
      <c r="AQ74" s="328"/>
      <c r="AR74" s="328"/>
      <c r="AS74" s="332">
        <f>Ergebniseingabe!AS63</f>
      </c>
      <c r="AT74" s="332"/>
      <c r="AU74" s="333"/>
      <c r="AV74" s="223">
        <f>Ergebniseingabe!AV63</f>
      </c>
      <c r="AW74" s="224"/>
      <c r="AX74" s="225"/>
      <c r="AY74" s="223">
        <f>Ergebniseingabe!AY63</f>
      </c>
      <c r="AZ74" s="224"/>
      <c r="BA74" s="225"/>
      <c r="BB74" s="223">
        <f>Ergebniseingabe!BB63</f>
      </c>
      <c r="BC74" s="224"/>
      <c r="BD74" s="225"/>
      <c r="BE74" s="223">
        <f>Ergebniseingabe!BE63</f>
      </c>
      <c r="BF74" s="224"/>
      <c r="BG74" s="42">
        <f>Ergebniseingabe!BG63</f>
      </c>
      <c r="BH74" s="224">
        <f>Ergebniseingabe!BH63</f>
      </c>
      <c r="BI74" s="225"/>
      <c r="BJ74" s="229">
        <f>Ergebniseingabe!BJ63</f>
      </c>
      <c r="BK74" s="230"/>
      <c r="BL74" s="230"/>
      <c r="BM74" s="223">
        <f>Ergebniseingabe!BM63</f>
      </c>
      <c r="BN74" s="224"/>
      <c r="BO74" s="334"/>
      <c r="BP74" s="148"/>
      <c r="BQ74" s="60"/>
      <c r="BR74" s="77"/>
      <c r="BS74" s="77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145"/>
      <c r="DS74" s="145"/>
      <c r="DT74" s="145"/>
      <c r="DU74" s="52"/>
      <c r="DV74" s="52"/>
      <c r="DW74" s="52"/>
      <c r="DX74" s="60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</row>
    <row r="75" spans="2:151" s="144" customFormat="1" ht="16.5" customHeight="1">
      <c r="B75" s="470">
        <f>IF(Ergebniseingabe!B64="","",Ergebniseingabe!B64)</f>
      </c>
      <c r="C75" s="470"/>
      <c r="D75" s="470"/>
      <c r="E75" s="470"/>
      <c r="F75" s="470">
        <f>IF(Ergebniseingabe!F64="","",Ergebniseingabe!F64)</f>
      </c>
      <c r="G75" s="470"/>
      <c r="H75" s="470"/>
      <c r="I75" s="1"/>
      <c r="J75" s="245">
        <f>Ergebniseingabe!J64</f>
      </c>
      <c r="K75" s="246"/>
      <c r="L75" s="183" t="str">
        <f>Ergebniseingabe!L64</f>
        <v>DSC 99 Düsseldorf</v>
      </c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5">
        <f>Ergebniseingabe!AG64</f>
      </c>
      <c r="AH75" s="185"/>
      <c r="AI75" s="186"/>
      <c r="AJ75" s="393"/>
      <c r="AK75" s="393"/>
      <c r="AL75" s="393"/>
      <c r="AM75" s="323">
        <f>Ergebniseingabe!AM64</f>
      </c>
      <c r="AN75" s="323"/>
      <c r="AO75" s="323"/>
      <c r="AP75" s="324">
        <f>Ergebniseingabe!AP64</f>
      </c>
      <c r="AQ75" s="185"/>
      <c r="AR75" s="185"/>
      <c r="AS75" s="366">
        <f>Ergebniseingabe!AS64</f>
      </c>
      <c r="AT75" s="366"/>
      <c r="AU75" s="367"/>
      <c r="AV75" s="223">
        <f>Ergebniseingabe!AV64</f>
      </c>
      <c r="AW75" s="224"/>
      <c r="AX75" s="225"/>
      <c r="AY75" s="223">
        <f>Ergebniseingabe!AY64</f>
      </c>
      <c r="AZ75" s="224"/>
      <c r="BA75" s="225"/>
      <c r="BB75" s="223">
        <f>Ergebniseingabe!BB64</f>
      </c>
      <c r="BC75" s="224"/>
      <c r="BD75" s="225"/>
      <c r="BE75" s="223">
        <f>Ergebniseingabe!BE64</f>
      </c>
      <c r="BF75" s="224"/>
      <c r="BG75" s="42">
        <f>Ergebniseingabe!BG64</f>
      </c>
      <c r="BH75" s="224">
        <f>Ergebniseingabe!BH64</f>
      </c>
      <c r="BI75" s="225"/>
      <c r="BJ75" s="229">
        <f>Ergebniseingabe!BJ64</f>
      </c>
      <c r="BK75" s="230"/>
      <c r="BL75" s="230"/>
      <c r="BM75" s="223">
        <f>Ergebniseingabe!BM64</f>
      </c>
      <c r="BN75" s="224"/>
      <c r="BO75" s="334"/>
      <c r="BP75" s="148"/>
      <c r="BQ75" s="60"/>
      <c r="BR75" s="77"/>
      <c r="BS75" s="77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145"/>
      <c r="DS75" s="145"/>
      <c r="DT75" s="145"/>
      <c r="DU75" s="52"/>
      <c r="DV75" s="52"/>
      <c r="DW75" s="52"/>
      <c r="DX75" s="60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</row>
    <row r="76" spans="2:151" s="144" customFormat="1" ht="16.5" customHeight="1">
      <c r="B76" s="470">
        <f>IF(Ergebniseingabe!B65="","",Ergebniseingabe!B65)</f>
      </c>
      <c r="C76" s="470"/>
      <c r="D76" s="470"/>
      <c r="E76" s="470"/>
      <c r="F76" s="470">
        <f>IF(Ergebniseingabe!F65="","",Ergebniseingabe!F65)</f>
      </c>
      <c r="G76" s="470"/>
      <c r="H76" s="470"/>
      <c r="I76" s="1"/>
      <c r="J76" s="245">
        <f>Ergebniseingabe!J65</f>
      </c>
      <c r="K76" s="311"/>
      <c r="L76" s="183" t="str">
        <f>Ergebniseingabe!L65</f>
        <v>TuS Hackenbroich</v>
      </c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5">
        <f>Ergebniseingabe!AG65</f>
      </c>
      <c r="AH76" s="185"/>
      <c r="AI76" s="186"/>
      <c r="AJ76" s="323">
        <f>Ergebniseingabe!AJ65</f>
      </c>
      <c r="AK76" s="323"/>
      <c r="AL76" s="323"/>
      <c r="AM76" s="393"/>
      <c r="AN76" s="393"/>
      <c r="AO76" s="393"/>
      <c r="AP76" s="324">
        <f>Ergebniseingabe!AP65</f>
      </c>
      <c r="AQ76" s="185"/>
      <c r="AR76" s="185"/>
      <c r="AS76" s="366">
        <f>Ergebniseingabe!AS65</f>
      </c>
      <c r="AT76" s="366"/>
      <c r="AU76" s="367"/>
      <c r="AV76" s="343">
        <f>Ergebniseingabe!AV65</f>
      </c>
      <c r="AW76" s="343"/>
      <c r="AX76" s="343"/>
      <c r="AY76" s="343">
        <f>Ergebniseingabe!AY65</f>
      </c>
      <c r="AZ76" s="343"/>
      <c r="BA76" s="343"/>
      <c r="BB76" s="343">
        <f>Ergebniseingabe!BB65</f>
      </c>
      <c r="BC76" s="343"/>
      <c r="BD76" s="343"/>
      <c r="BE76" s="224">
        <f>Ergebniseingabe!BE65</f>
      </c>
      <c r="BF76" s="224"/>
      <c r="BG76" s="42">
        <f>Ergebniseingabe!BG65</f>
      </c>
      <c r="BH76" s="224">
        <f>Ergebniseingabe!BH65</f>
      </c>
      <c r="BI76" s="224"/>
      <c r="BJ76" s="349">
        <f>Ergebniseingabe!BJ65</f>
      </c>
      <c r="BK76" s="349"/>
      <c r="BL76" s="229"/>
      <c r="BM76" s="343">
        <f>Ergebniseingabe!BM65</f>
      </c>
      <c r="BN76" s="343"/>
      <c r="BO76" s="344"/>
      <c r="BP76" s="148"/>
      <c r="BQ76" s="60"/>
      <c r="BR76" s="77"/>
      <c r="BS76" s="77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145"/>
      <c r="DS76" s="145"/>
      <c r="DT76" s="145"/>
      <c r="DU76" s="52"/>
      <c r="DV76" s="52"/>
      <c r="DW76" s="52"/>
      <c r="DX76" s="60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</row>
    <row r="77" spans="2:151" s="144" customFormat="1" ht="16.5" customHeight="1" thickBot="1">
      <c r="B77" s="470">
        <f>IF(Ergebniseingabe!B66="","",Ergebniseingabe!B66)</f>
      </c>
      <c r="C77" s="470"/>
      <c r="D77" s="470"/>
      <c r="E77" s="470"/>
      <c r="F77" s="470">
        <f>IF(Ergebniseingabe!F66="","",Ergebniseingabe!F66)</f>
      </c>
      <c r="G77" s="470"/>
      <c r="H77" s="470"/>
      <c r="I77" s="1"/>
      <c r="J77" s="179">
        <f>Ergebniseingabe!J66</f>
      </c>
      <c r="K77" s="180"/>
      <c r="L77" s="181" t="str">
        <f>Ergebniseingabe!L66</f>
        <v>DJK Viktoria Frechen</v>
      </c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330">
        <f>Ergebniseingabe!AG66</f>
      </c>
      <c r="AH77" s="330"/>
      <c r="AI77" s="331"/>
      <c r="AJ77" s="348">
        <f>Ergebniseingabe!AJ66</f>
      </c>
      <c r="AK77" s="348"/>
      <c r="AL77" s="348"/>
      <c r="AM77" s="348">
        <f>Ergebniseingabe!AM66</f>
      </c>
      <c r="AN77" s="348"/>
      <c r="AO77" s="348"/>
      <c r="AP77" s="379"/>
      <c r="AQ77" s="380"/>
      <c r="AR77" s="380"/>
      <c r="AS77" s="368">
        <f>Ergebniseingabe!AS66</f>
      </c>
      <c r="AT77" s="368"/>
      <c r="AU77" s="369"/>
      <c r="AV77" s="350">
        <f>Ergebniseingabe!AV66</f>
      </c>
      <c r="AW77" s="350"/>
      <c r="AX77" s="350"/>
      <c r="AY77" s="350">
        <f>Ergebniseingabe!AY66</f>
      </c>
      <c r="AZ77" s="350"/>
      <c r="BA77" s="350"/>
      <c r="BB77" s="350">
        <f>Ergebniseingabe!BB66</f>
      </c>
      <c r="BC77" s="350"/>
      <c r="BD77" s="350"/>
      <c r="BE77" s="227">
        <f>Ergebniseingabe!BE66</f>
      </c>
      <c r="BF77" s="227"/>
      <c r="BG77" s="43">
        <f>Ergebniseingabe!BG66</f>
      </c>
      <c r="BH77" s="227">
        <f>Ergebniseingabe!BH66</f>
      </c>
      <c r="BI77" s="227"/>
      <c r="BJ77" s="352">
        <f>Ergebniseingabe!BJ66</f>
      </c>
      <c r="BK77" s="352"/>
      <c r="BL77" s="353"/>
      <c r="BM77" s="350">
        <f>Ergebniseingabe!BM66</f>
      </c>
      <c r="BN77" s="350"/>
      <c r="BO77" s="351"/>
      <c r="BP77" s="148"/>
      <c r="BQ77" s="60"/>
      <c r="BR77" s="77"/>
      <c r="BS77" s="77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145"/>
      <c r="DS77" s="145"/>
      <c r="DT77" s="145"/>
      <c r="DU77" s="52"/>
      <c r="DV77" s="52"/>
      <c r="DW77" s="52"/>
      <c r="DX77" s="60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</row>
    <row r="78" spans="2:151" s="144" customFormat="1" ht="16.5" customHeight="1" thickBot="1">
      <c r="B78" s="105"/>
      <c r="C78" s="105"/>
      <c r="D78" s="105"/>
      <c r="E78" s="105"/>
      <c r="F78" s="105"/>
      <c r="G78" s="105"/>
      <c r="H78" s="105"/>
      <c r="I78" s="1"/>
      <c r="J78" s="44"/>
      <c r="K78" s="44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6"/>
      <c r="BI78" s="46"/>
      <c r="BJ78" s="48"/>
      <c r="BK78" s="48"/>
      <c r="BL78" s="48"/>
      <c r="BM78" s="46"/>
      <c r="BN78" s="46"/>
      <c r="BO78" s="46"/>
      <c r="BP78" s="148"/>
      <c r="BQ78" s="60"/>
      <c r="BR78" s="77"/>
      <c r="BS78" s="77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145"/>
      <c r="DS78" s="145"/>
      <c r="DT78" s="145"/>
      <c r="DU78" s="52"/>
      <c r="DV78" s="52"/>
      <c r="DW78" s="52"/>
      <c r="DX78" s="60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</row>
    <row r="79" spans="2:151" s="144" customFormat="1" ht="16.5" customHeight="1">
      <c r="B79" s="93"/>
      <c r="C79" s="93"/>
      <c r="D79" s="93"/>
      <c r="E79" s="93"/>
      <c r="F79" s="93"/>
      <c r="G79" s="2"/>
      <c r="H79" s="76"/>
      <c r="I79" s="1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189" t="str">
        <f>L90</f>
        <v>SV Rosellen 1</v>
      </c>
      <c r="AH79" s="190"/>
      <c r="AI79" s="190"/>
      <c r="AJ79" s="190" t="str">
        <f>L91</f>
        <v>SV Nütterden</v>
      </c>
      <c r="AK79" s="190"/>
      <c r="AL79" s="190"/>
      <c r="AM79" s="190" t="str">
        <f>L92</f>
        <v>1. FC Quadrath Ichendorf</v>
      </c>
      <c r="AN79" s="190"/>
      <c r="AO79" s="190"/>
      <c r="AP79" s="190" t="str">
        <f>L93</f>
        <v>SC Blau-Weiß 06 Köln</v>
      </c>
      <c r="AQ79" s="190"/>
      <c r="AR79" s="354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7"/>
      <c r="BH79" s="46"/>
      <c r="BI79" s="46"/>
      <c r="BJ79" s="48"/>
      <c r="BK79" s="48"/>
      <c r="BL79" s="48"/>
      <c r="BM79" s="46"/>
      <c r="BN79" s="46"/>
      <c r="BO79" s="46"/>
      <c r="BP79" s="148"/>
      <c r="BQ79" s="60"/>
      <c r="BR79" s="77"/>
      <c r="BS79" s="77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145"/>
      <c r="DS79" s="145"/>
      <c r="DT79" s="145"/>
      <c r="DU79" s="52"/>
      <c r="DV79" s="52"/>
      <c r="DW79" s="52"/>
      <c r="DX79" s="60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</row>
    <row r="80" spans="2:151" s="144" customFormat="1" ht="16.5" customHeight="1">
      <c r="B80" s="93"/>
      <c r="C80" s="93"/>
      <c r="D80" s="93"/>
      <c r="E80" s="93"/>
      <c r="F80" s="93"/>
      <c r="G80" s="2"/>
      <c r="H80" s="76"/>
      <c r="I80" s="1"/>
      <c r="J80" s="44"/>
      <c r="K80" s="44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191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355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7"/>
      <c r="BH80" s="46"/>
      <c r="BI80" s="46"/>
      <c r="BJ80" s="48"/>
      <c r="BK80" s="48"/>
      <c r="BL80" s="48"/>
      <c r="BM80" s="46"/>
      <c r="BN80" s="46"/>
      <c r="BO80" s="46"/>
      <c r="BP80" s="148"/>
      <c r="BQ80" s="60"/>
      <c r="BR80" s="77"/>
      <c r="BS80" s="77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145"/>
      <c r="DS80" s="145"/>
      <c r="DT80" s="145"/>
      <c r="DU80" s="52"/>
      <c r="DV80" s="52"/>
      <c r="DW80" s="52"/>
      <c r="DX80" s="60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</row>
    <row r="81" spans="2:151" s="144" customFormat="1" ht="16.5" customHeight="1">
      <c r="B81" s="93"/>
      <c r="C81" s="93"/>
      <c r="D81" s="93"/>
      <c r="E81" s="93"/>
      <c r="F81" s="93"/>
      <c r="G81" s="2"/>
      <c r="H81" s="76"/>
      <c r="I81" s="1"/>
      <c r="J81" s="44"/>
      <c r="K81" s="44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191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355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7"/>
      <c r="BH81" s="46"/>
      <c r="BI81" s="46"/>
      <c r="BJ81" s="48"/>
      <c r="BK81" s="48"/>
      <c r="BL81" s="48"/>
      <c r="BM81" s="46"/>
      <c r="BN81" s="46"/>
      <c r="BO81" s="46"/>
      <c r="BP81" s="148"/>
      <c r="BQ81" s="60"/>
      <c r="BR81" s="77"/>
      <c r="BS81" s="77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145"/>
      <c r="DS81" s="145"/>
      <c r="DT81" s="145"/>
      <c r="DU81" s="52"/>
      <c r="DV81" s="52"/>
      <c r="DW81" s="52"/>
      <c r="DX81" s="60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</row>
    <row r="82" spans="2:151" s="144" customFormat="1" ht="16.5" customHeight="1">
      <c r="B82" s="93"/>
      <c r="C82" s="93"/>
      <c r="D82" s="93"/>
      <c r="E82" s="93"/>
      <c r="F82" s="93"/>
      <c r="G82" s="2"/>
      <c r="H82" s="76"/>
      <c r="I82" s="1"/>
      <c r="J82" s="44"/>
      <c r="K82" s="44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191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355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7"/>
      <c r="BH82" s="46"/>
      <c r="BI82" s="46"/>
      <c r="BJ82" s="48"/>
      <c r="BK82" s="48"/>
      <c r="BL82" s="48"/>
      <c r="BM82" s="46"/>
      <c r="BN82" s="46"/>
      <c r="BO82" s="46"/>
      <c r="BP82" s="148"/>
      <c r="BQ82" s="60"/>
      <c r="BR82" s="77"/>
      <c r="BS82" s="77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145"/>
      <c r="DS82" s="145"/>
      <c r="DT82" s="145"/>
      <c r="DU82" s="52"/>
      <c r="DV82" s="52"/>
      <c r="DW82" s="52"/>
      <c r="DX82" s="60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</row>
    <row r="83" spans="2:151" s="144" customFormat="1" ht="16.5" customHeight="1">
      <c r="B83" s="93"/>
      <c r="C83" s="93"/>
      <c r="D83" s="93"/>
      <c r="E83" s="93"/>
      <c r="F83" s="93"/>
      <c r="G83" s="2"/>
      <c r="H83" s="76"/>
      <c r="I83" s="1"/>
      <c r="J83" s="44"/>
      <c r="K83" s="44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191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355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7"/>
      <c r="BH83" s="46"/>
      <c r="BI83" s="46"/>
      <c r="BJ83" s="48"/>
      <c r="BK83" s="48"/>
      <c r="BL83" s="48"/>
      <c r="BM83" s="46"/>
      <c r="BN83" s="46"/>
      <c r="BO83" s="46"/>
      <c r="BP83" s="148"/>
      <c r="BQ83" s="60"/>
      <c r="BR83" s="77"/>
      <c r="BS83" s="77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145"/>
      <c r="DS83" s="145"/>
      <c r="DT83" s="145"/>
      <c r="DU83" s="52"/>
      <c r="DV83" s="52"/>
      <c r="DW83" s="52"/>
      <c r="DX83" s="60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</row>
    <row r="84" spans="2:151" s="144" customFormat="1" ht="16.5" customHeight="1">
      <c r="B84" s="93"/>
      <c r="C84" s="93"/>
      <c r="D84" s="93"/>
      <c r="E84" s="93"/>
      <c r="F84" s="93"/>
      <c r="G84" s="2"/>
      <c r="H84" s="1"/>
      <c r="I84" s="1"/>
      <c r="J84" s="44"/>
      <c r="K84" s="44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191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355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6"/>
      <c r="BI84" s="46"/>
      <c r="BJ84" s="48"/>
      <c r="BK84" s="48"/>
      <c r="BL84" s="48"/>
      <c r="BM84" s="46"/>
      <c r="BN84" s="46"/>
      <c r="BO84" s="46"/>
      <c r="BP84" s="148"/>
      <c r="BQ84" s="60"/>
      <c r="BR84" s="77"/>
      <c r="BS84" s="77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145"/>
      <c r="DS84" s="145"/>
      <c r="DT84" s="145"/>
      <c r="DU84" s="52"/>
      <c r="DV84" s="52"/>
      <c r="DW84" s="52"/>
      <c r="DX84" s="60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</row>
    <row r="85" spans="2:151" s="144" customFormat="1" ht="16.5" customHeight="1">
      <c r="B85" s="93"/>
      <c r="C85" s="93"/>
      <c r="D85" s="93"/>
      <c r="E85" s="93"/>
      <c r="F85" s="93"/>
      <c r="G85" s="2"/>
      <c r="H85" s="1"/>
      <c r="I85" s="1"/>
      <c r="J85" s="44"/>
      <c r="K85" s="44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191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355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7"/>
      <c r="BH85" s="46"/>
      <c r="BI85" s="46"/>
      <c r="BJ85" s="48"/>
      <c r="BK85" s="48"/>
      <c r="BL85" s="48"/>
      <c r="BM85" s="46"/>
      <c r="BN85" s="46"/>
      <c r="BO85" s="46"/>
      <c r="BP85" s="148"/>
      <c r="BQ85" s="60"/>
      <c r="BR85" s="77"/>
      <c r="BS85" s="77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145"/>
      <c r="DS85" s="145"/>
      <c r="DT85" s="145"/>
      <c r="DU85" s="52"/>
      <c r="DV85" s="52"/>
      <c r="DW85" s="52"/>
      <c r="DX85" s="60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</row>
    <row r="86" spans="2:151" s="144" customFormat="1" ht="16.5" customHeight="1">
      <c r="B86" s="93"/>
      <c r="C86" s="93"/>
      <c r="D86" s="93"/>
      <c r="E86" s="93"/>
      <c r="F86" s="93"/>
      <c r="G86" s="2"/>
      <c r="H86" s="1"/>
      <c r="I86" s="1"/>
      <c r="J86" s="44"/>
      <c r="K86" s="44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191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355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7"/>
      <c r="BH86" s="46"/>
      <c r="BI86" s="46"/>
      <c r="BJ86" s="48"/>
      <c r="BK86" s="48"/>
      <c r="BL86" s="48"/>
      <c r="BM86" s="46"/>
      <c r="BN86" s="46"/>
      <c r="BO86" s="46"/>
      <c r="BP86" s="148"/>
      <c r="BQ86" s="60"/>
      <c r="BR86" s="77"/>
      <c r="BS86" s="77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145"/>
      <c r="DS86" s="145"/>
      <c r="DT86" s="145"/>
      <c r="DU86" s="52"/>
      <c r="DV86" s="52"/>
      <c r="DW86" s="52"/>
      <c r="DX86" s="60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</row>
    <row r="87" spans="2:151" s="144" customFormat="1" ht="16.5" customHeight="1">
      <c r="B87" s="93"/>
      <c r="C87" s="93"/>
      <c r="D87" s="93"/>
      <c r="E87" s="93"/>
      <c r="F87" s="93"/>
      <c r="G87" s="2"/>
      <c r="H87" s="1"/>
      <c r="I87" s="1"/>
      <c r="J87" s="44"/>
      <c r="K87" s="44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191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355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7"/>
      <c r="BH87" s="46"/>
      <c r="BI87" s="46"/>
      <c r="BJ87" s="48"/>
      <c r="BK87" s="48"/>
      <c r="BL87" s="48"/>
      <c r="BM87" s="46"/>
      <c r="BN87" s="46"/>
      <c r="BO87" s="46"/>
      <c r="BP87" s="148"/>
      <c r="BQ87" s="60"/>
      <c r="BR87" s="77"/>
      <c r="BS87" s="77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145"/>
      <c r="DS87" s="145"/>
      <c r="DT87" s="145"/>
      <c r="DU87" s="52"/>
      <c r="DV87" s="52"/>
      <c r="DW87" s="52"/>
      <c r="DX87" s="60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</row>
    <row r="88" spans="2:151" s="144" customFormat="1" ht="16.5" customHeight="1" thickBot="1">
      <c r="B88" s="176" t="s">
        <v>45</v>
      </c>
      <c r="C88" s="176"/>
      <c r="D88" s="176"/>
      <c r="E88" s="176"/>
      <c r="F88" s="176"/>
      <c r="G88" s="176"/>
      <c r="H88" s="176"/>
      <c r="I88" s="1"/>
      <c r="J88" s="44"/>
      <c r="K88" s="44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191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355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7"/>
      <c r="BH88" s="46"/>
      <c r="BI88" s="46"/>
      <c r="BJ88" s="48"/>
      <c r="BK88" s="48"/>
      <c r="BL88" s="48"/>
      <c r="BM88" s="46"/>
      <c r="BN88" s="46"/>
      <c r="BO88" s="46"/>
      <c r="BP88" s="148"/>
      <c r="BQ88" s="60"/>
      <c r="BR88" s="77"/>
      <c r="BS88" s="77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145"/>
      <c r="DS88" s="145"/>
      <c r="DT88" s="145"/>
      <c r="DU88" s="52"/>
      <c r="DV88" s="52"/>
      <c r="DW88" s="52"/>
      <c r="DX88" s="60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</row>
    <row r="89" spans="2:151" s="144" customFormat="1" ht="16.5" customHeight="1" thickBot="1">
      <c r="B89" s="244" t="s">
        <v>46</v>
      </c>
      <c r="C89" s="244"/>
      <c r="D89" s="244"/>
      <c r="E89" s="244"/>
      <c r="F89" s="244" t="s">
        <v>47</v>
      </c>
      <c r="G89" s="244"/>
      <c r="H89" s="244"/>
      <c r="I89" s="1"/>
      <c r="J89" s="396" t="str">
        <f>Ergebniseingabe!$J$78</f>
        <v>Gruppe B</v>
      </c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8"/>
      <c r="AG89" s="193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356"/>
      <c r="AS89" s="345" t="s">
        <v>19</v>
      </c>
      <c r="AT89" s="346"/>
      <c r="AU89" s="365"/>
      <c r="AV89" s="345" t="s">
        <v>20</v>
      </c>
      <c r="AW89" s="346"/>
      <c r="AX89" s="365"/>
      <c r="AY89" s="345" t="s">
        <v>21</v>
      </c>
      <c r="AZ89" s="346"/>
      <c r="BA89" s="365"/>
      <c r="BB89" s="345" t="s">
        <v>22</v>
      </c>
      <c r="BC89" s="346"/>
      <c r="BD89" s="365"/>
      <c r="BE89" s="346" t="s">
        <v>23</v>
      </c>
      <c r="BF89" s="346"/>
      <c r="BG89" s="346"/>
      <c r="BH89" s="346"/>
      <c r="BI89" s="346"/>
      <c r="BJ89" s="345" t="s">
        <v>24</v>
      </c>
      <c r="BK89" s="346"/>
      <c r="BL89" s="346"/>
      <c r="BM89" s="345" t="s">
        <v>25</v>
      </c>
      <c r="BN89" s="346"/>
      <c r="BO89" s="347"/>
      <c r="BP89" s="148"/>
      <c r="BQ89" s="60"/>
      <c r="BR89" s="77"/>
      <c r="BS89" s="77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145"/>
      <c r="DS89" s="145"/>
      <c r="DT89" s="145"/>
      <c r="DU89" s="52"/>
      <c r="DV89" s="52"/>
      <c r="DW89" s="52"/>
      <c r="DX89" s="60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</row>
    <row r="90" spans="2:151" s="144" customFormat="1" ht="16.5" customHeight="1">
      <c r="B90" s="470">
        <f>IF(Ergebniseingabe!B79="","",Ergebniseingabe!B79)</f>
      </c>
      <c r="C90" s="470"/>
      <c r="D90" s="470"/>
      <c r="E90" s="470"/>
      <c r="F90" s="470">
        <f>IF(Ergebniseingabe!F79="","",Ergebniseingabe!F79)</f>
      </c>
      <c r="G90" s="470"/>
      <c r="H90" s="470"/>
      <c r="I90" s="1"/>
      <c r="J90" s="245">
        <f>Ergebniseingabe!J79</f>
      </c>
      <c r="K90" s="246"/>
      <c r="L90" s="321" t="str">
        <f>Ergebniseingabe!L79</f>
        <v>SV Rosellen 1</v>
      </c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187"/>
      <c r="AH90" s="187"/>
      <c r="AI90" s="188"/>
      <c r="AJ90" s="329">
        <f>Ergebniseingabe!AJ79</f>
      </c>
      <c r="AK90" s="329"/>
      <c r="AL90" s="329"/>
      <c r="AM90" s="329">
        <f>Ergebniseingabe!AM79</f>
      </c>
      <c r="AN90" s="329"/>
      <c r="AO90" s="329"/>
      <c r="AP90" s="327">
        <f>Ergebniseingabe!AP79</f>
      </c>
      <c r="AQ90" s="328"/>
      <c r="AR90" s="328"/>
      <c r="AS90" s="332">
        <f>Ergebniseingabe!AS79</f>
      </c>
      <c r="AT90" s="332"/>
      <c r="AU90" s="333"/>
      <c r="AV90" s="223">
        <f>Ergebniseingabe!AV79</f>
      </c>
      <c r="AW90" s="224"/>
      <c r="AX90" s="225"/>
      <c r="AY90" s="223">
        <f>Ergebniseingabe!AY79</f>
      </c>
      <c r="AZ90" s="224"/>
      <c r="BA90" s="225"/>
      <c r="BB90" s="223">
        <f>Ergebniseingabe!BB79</f>
      </c>
      <c r="BC90" s="224"/>
      <c r="BD90" s="225"/>
      <c r="BE90" s="223">
        <f>Ergebniseingabe!BE79</f>
      </c>
      <c r="BF90" s="224"/>
      <c r="BG90" s="42">
        <f>Ergebniseingabe!BG79</f>
      </c>
      <c r="BH90" s="224">
        <f>Ergebniseingabe!BH79</f>
      </c>
      <c r="BI90" s="225"/>
      <c r="BJ90" s="229">
        <f>Ergebniseingabe!BJ79</f>
      </c>
      <c r="BK90" s="230"/>
      <c r="BL90" s="230"/>
      <c r="BM90" s="223">
        <f>Ergebniseingabe!BM79</f>
      </c>
      <c r="BN90" s="224"/>
      <c r="BO90" s="334"/>
      <c r="BP90" s="148"/>
      <c r="BQ90" s="60"/>
      <c r="BR90" s="77"/>
      <c r="BS90" s="77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145"/>
      <c r="DS90" s="145"/>
      <c r="DT90" s="145"/>
      <c r="DU90" s="52"/>
      <c r="DV90" s="52"/>
      <c r="DW90" s="52"/>
      <c r="DX90" s="60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</row>
    <row r="91" spans="2:151" s="144" customFormat="1" ht="16.5" customHeight="1">
      <c r="B91" s="470">
        <f>IF(Ergebniseingabe!B80="","",Ergebniseingabe!B80)</f>
      </c>
      <c r="C91" s="470"/>
      <c r="D91" s="470"/>
      <c r="E91" s="470"/>
      <c r="F91" s="470">
        <f>IF(Ergebniseingabe!F80="","",Ergebniseingabe!F80)</f>
      </c>
      <c r="G91" s="470"/>
      <c r="H91" s="470"/>
      <c r="I91" s="1"/>
      <c r="J91" s="245">
        <f>Ergebniseingabe!J80</f>
      </c>
      <c r="K91" s="246"/>
      <c r="L91" s="183" t="str">
        <f>Ergebniseingabe!L80</f>
        <v>SV Nütterden</v>
      </c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5">
        <f>Ergebniseingabe!AG80</f>
      </c>
      <c r="AH91" s="185"/>
      <c r="AI91" s="186"/>
      <c r="AJ91" s="393"/>
      <c r="AK91" s="393"/>
      <c r="AL91" s="393"/>
      <c r="AM91" s="323">
        <f>Ergebniseingabe!AM80</f>
      </c>
      <c r="AN91" s="323"/>
      <c r="AO91" s="323"/>
      <c r="AP91" s="324">
        <f>Ergebniseingabe!AP80</f>
      </c>
      <c r="AQ91" s="185"/>
      <c r="AR91" s="185"/>
      <c r="AS91" s="366">
        <f>Ergebniseingabe!AS80</f>
      </c>
      <c r="AT91" s="366"/>
      <c r="AU91" s="367"/>
      <c r="AV91" s="223">
        <f>Ergebniseingabe!AV80</f>
      </c>
      <c r="AW91" s="224"/>
      <c r="AX91" s="225"/>
      <c r="AY91" s="223">
        <f>Ergebniseingabe!AY80</f>
      </c>
      <c r="AZ91" s="224"/>
      <c r="BA91" s="225"/>
      <c r="BB91" s="223">
        <f>Ergebniseingabe!BB80</f>
      </c>
      <c r="BC91" s="224"/>
      <c r="BD91" s="225"/>
      <c r="BE91" s="223">
        <f>Ergebniseingabe!BE80</f>
      </c>
      <c r="BF91" s="224"/>
      <c r="BG91" s="42">
        <f>Ergebniseingabe!BG80</f>
      </c>
      <c r="BH91" s="224">
        <f>Ergebniseingabe!BH80</f>
      </c>
      <c r="BI91" s="225"/>
      <c r="BJ91" s="229">
        <f>Ergebniseingabe!BJ80</f>
      </c>
      <c r="BK91" s="230"/>
      <c r="BL91" s="230"/>
      <c r="BM91" s="223">
        <f>Ergebniseingabe!BM80</f>
      </c>
      <c r="BN91" s="224"/>
      <c r="BO91" s="334"/>
      <c r="BP91" s="148"/>
      <c r="BQ91" s="60"/>
      <c r="BR91" s="77"/>
      <c r="BS91" s="77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145"/>
      <c r="DS91" s="145"/>
      <c r="DT91" s="145"/>
      <c r="DU91" s="52"/>
      <c r="DV91" s="52"/>
      <c r="DW91" s="52"/>
      <c r="DX91" s="60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</row>
    <row r="92" spans="2:152" s="24" customFormat="1" ht="16.5" customHeight="1">
      <c r="B92" s="470">
        <f>IF(Ergebniseingabe!B81="","",Ergebniseingabe!B81)</f>
      </c>
      <c r="C92" s="470"/>
      <c r="D92" s="470"/>
      <c r="E92" s="470"/>
      <c r="F92" s="470">
        <f>IF(Ergebniseingabe!F81="","",Ergebniseingabe!F81)</f>
      </c>
      <c r="G92" s="470"/>
      <c r="H92" s="470"/>
      <c r="I92" s="1"/>
      <c r="J92" s="245">
        <f>Ergebniseingabe!J81</f>
      </c>
      <c r="K92" s="311"/>
      <c r="L92" s="183" t="str">
        <f>Ergebniseingabe!L81</f>
        <v>1. FC Quadrath Ichendorf</v>
      </c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5">
        <f>Ergebniseingabe!AG81</f>
      </c>
      <c r="AH92" s="185"/>
      <c r="AI92" s="186"/>
      <c r="AJ92" s="323">
        <f>Ergebniseingabe!AJ81</f>
      </c>
      <c r="AK92" s="323"/>
      <c r="AL92" s="323"/>
      <c r="AM92" s="393"/>
      <c r="AN92" s="393"/>
      <c r="AO92" s="393"/>
      <c r="AP92" s="324">
        <f>Ergebniseingabe!AP81</f>
      </c>
      <c r="AQ92" s="185"/>
      <c r="AR92" s="185"/>
      <c r="AS92" s="366">
        <f>Ergebniseingabe!AS81</f>
      </c>
      <c r="AT92" s="366"/>
      <c r="AU92" s="367"/>
      <c r="AV92" s="343">
        <f>Ergebniseingabe!AV81</f>
      </c>
      <c r="AW92" s="343"/>
      <c r="AX92" s="343"/>
      <c r="AY92" s="343">
        <f>Ergebniseingabe!AY81</f>
      </c>
      <c r="AZ92" s="343"/>
      <c r="BA92" s="343"/>
      <c r="BB92" s="343">
        <f>Ergebniseingabe!BB81</f>
      </c>
      <c r="BC92" s="343"/>
      <c r="BD92" s="343"/>
      <c r="BE92" s="224">
        <f>Ergebniseingabe!BE81</f>
      </c>
      <c r="BF92" s="224"/>
      <c r="BG92" s="42">
        <f>Ergebniseingabe!BG81</f>
      </c>
      <c r="BH92" s="224">
        <f>Ergebniseingabe!BH81</f>
      </c>
      <c r="BI92" s="224"/>
      <c r="BJ92" s="349">
        <f>Ergebniseingabe!BJ81</f>
      </c>
      <c r="BK92" s="349"/>
      <c r="BL92" s="229"/>
      <c r="BM92" s="343">
        <f>Ergebniseingabe!BM81</f>
      </c>
      <c r="BN92" s="343"/>
      <c r="BO92" s="344"/>
      <c r="BP92" s="2"/>
      <c r="BQ92" s="3"/>
      <c r="DX92" s="47"/>
      <c r="DY92" s="1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</row>
    <row r="93" spans="2:154" s="24" customFormat="1" ht="16.5" customHeight="1" thickBot="1">
      <c r="B93" s="470">
        <f>IF(Ergebniseingabe!B82="","",Ergebniseingabe!B82)</f>
      </c>
      <c r="C93" s="470"/>
      <c r="D93" s="470"/>
      <c r="E93" s="470"/>
      <c r="F93" s="470">
        <f>IF(Ergebniseingabe!F82="","",Ergebniseingabe!F82)</f>
      </c>
      <c r="G93" s="470"/>
      <c r="H93" s="470"/>
      <c r="I93" s="1"/>
      <c r="J93" s="179">
        <f>Ergebniseingabe!J82</f>
      </c>
      <c r="K93" s="180"/>
      <c r="L93" s="181" t="str">
        <f>Ergebniseingabe!L82</f>
        <v>SC Blau-Weiß 06 Köln</v>
      </c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330">
        <f>Ergebniseingabe!AG82</f>
      </c>
      <c r="AH93" s="330"/>
      <c r="AI93" s="331"/>
      <c r="AJ93" s="348">
        <f>Ergebniseingabe!AJ82</f>
      </c>
      <c r="AK93" s="348"/>
      <c r="AL93" s="348"/>
      <c r="AM93" s="348">
        <f>Ergebniseingabe!AM82</f>
      </c>
      <c r="AN93" s="348"/>
      <c r="AO93" s="348"/>
      <c r="AP93" s="379"/>
      <c r="AQ93" s="380"/>
      <c r="AR93" s="380"/>
      <c r="AS93" s="368">
        <f>Ergebniseingabe!AS82</f>
      </c>
      <c r="AT93" s="368"/>
      <c r="AU93" s="369"/>
      <c r="AV93" s="350">
        <f>Ergebniseingabe!AV82</f>
      </c>
      <c r="AW93" s="350"/>
      <c r="AX93" s="350"/>
      <c r="AY93" s="350">
        <f>Ergebniseingabe!AY82</f>
      </c>
      <c r="AZ93" s="350"/>
      <c r="BA93" s="350"/>
      <c r="BB93" s="350">
        <f>Ergebniseingabe!BB82</f>
      </c>
      <c r="BC93" s="350"/>
      <c r="BD93" s="350"/>
      <c r="BE93" s="227">
        <f>Ergebniseingabe!BE82</f>
      </c>
      <c r="BF93" s="227"/>
      <c r="BG93" s="43">
        <f>Ergebniseingabe!BG82</f>
      </c>
      <c r="BH93" s="227">
        <f>Ergebniseingabe!BH82</f>
      </c>
      <c r="BI93" s="227"/>
      <c r="BJ93" s="352">
        <f>Ergebniseingabe!BJ82</f>
      </c>
      <c r="BK93" s="352"/>
      <c r="BL93" s="353"/>
      <c r="BM93" s="350">
        <f>Ergebniseingabe!BM82</f>
      </c>
      <c r="BN93" s="350"/>
      <c r="BO93" s="351"/>
      <c r="BP93" s="2"/>
      <c r="BQ93" s="1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</row>
    <row r="94" spans="66:154" s="24" customFormat="1" ht="16.5" customHeight="1" thickBot="1">
      <c r="BN94" s="1"/>
      <c r="BO94" s="2"/>
      <c r="BP94" s="2"/>
      <c r="BQ94" s="1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</row>
    <row r="95" spans="2:154" s="24" customFormat="1" ht="16.5" customHeight="1">
      <c r="B95" s="2"/>
      <c r="C95" s="1"/>
      <c r="D95" s="77"/>
      <c r="E95" s="77"/>
      <c r="F95" s="78"/>
      <c r="G95" s="78"/>
      <c r="H95" s="78"/>
      <c r="I95" s="78"/>
      <c r="J95" s="54"/>
      <c r="K95" s="54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384" t="str">
        <f>L106</f>
        <v>SV Rosellen 2</v>
      </c>
      <c r="AH95" s="371"/>
      <c r="AI95" s="372"/>
      <c r="AJ95" s="370" t="str">
        <f>L107</f>
        <v>SG Orken-Noithausen</v>
      </c>
      <c r="AK95" s="371"/>
      <c r="AL95" s="372"/>
      <c r="AM95" s="370" t="str">
        <f>L108</f>
        <v>SSV Strümp</v>
      </c>
      <c r="AN95" s="371"/>
      <c r="AO95" s="372"/>
      <c r="AP95" s="370" t="str">
        <f>L109</f>
        <v>DJK Hoisten</v>
      </c>
      <c r="AQ95" s="371"/>
      <c r="AR95" s="448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57"/>
      <c r="BK95" s="57"/>
      <c r="BL95" s="57"/>
      <c r="BM95" s="47"/>
      <c r="BN95" s="47"/>
      <c r="BO95" s="47"/>
      <c r="BP95" s="59"/>
      <c r="BQ95" s="1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26"/>
      <c r="EX95" s="26"/>
    </row>
    <row r="96" spans="2:154" s="24" customFormat="1" ht="16.5" customHeight="1">
      <c r="B96" s="2"/>
      <c r="C96" s="1"/>
      <c r="D96" s="77"/>
      <c r="E96" s="77"/>
      <c r="F96" s="78"/>
      <c r="G96" s="78"/>
      <c r="H96" s="78"/>
      <c r="I96" s="78"/>
      <c r="J96" s="54"/>
      <c r="K96" s="54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385"/>
      <c r="AH96" s="374"/>
      <c r="AI96" s="375"/>
      <c r="AJ96" s="373"/>
      <c r="AK96" s="374"/>
      <c r="AL96" s="375"/>
      <c r="AM96" s="373"/>
      <c r="AN96" s="374"/>
      <c r="AO96" s="375"/>
      <c r="AP96" s="373"/>
      <c r="AQ96" s="374"/>
      <c r="AR96" s="449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57"/>
      <c r="BK96" s="57"/>
      <c r="BL96" s="57"/>
      <c r="BM96" s="47"/>
      <c r="BN96" s="47"/>
      <c r="BO96" s="47"/>
      <c r="BP96" s="59"/>
      <c r="BQ96" s="1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26"/>
      <c r="EX96" s="26"/>
    </row>
    <row r="97" spans="2:154" s="24" customFormat="1" ht="16.5" customHeight="1">
      <c r="B97" s="2"/>
      <c r="C97" s="1"/>
      <c r="D97" s="77"/>
      <c r="E97" s="77"/>
      <c r="F97" s="78"/>
      <c r="G97" s="78"/>
      <c r="H97" s="78"/>
      <c r="I97" s="78"/>
      <c r="J97" s="54"/>
      <c r="K97" s="54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385"/>
      <c r="AH97" s="374"/>
      <c r="AI97" s="375"/>
      <c r="AJ97" s="373"/>
      <c r="AK97" s="374"/>
      <c r="AL97" s="375"/>
      <c r="AM97" s="373"/>
      <c r="AN97" s="374"/>
      <c r="AO97" s="375"/>
      <c r="AP97" s="373"/>
      <c r="AQ97" s="374"/>
      <c r="AR97" s="449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57"/>
      <c r="BK97" s="57"/>
      <c r="BL97" s="57"/>
      <c r="BM97" s="47"/>
      <c r="BN97" s="47"/>
      <c r="BO97" s="47"/>
      <c r="BP97" s="59"/>
      <c r="BQ97" s="1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26"/>
      <c r="EX97" s="26"/>
    </row>
    <row r="98" spans="2:154" s="24" customFormat="1" ht="16.5" customHeight="1">
      <c r="B98" s="2"/>
      <c r="C98" s="1"/>
      <c r="D98" s="77"/>
      <c r="E98" s="77"/>
      <c r="F98" s="78"/>
      <c r="G98" s="78"/>
      <c r="H98" s="78"/>
      <c r="I98" s="78"/>
      <c r="J98" s="54"/>
      <c r="K98" s="54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385"/>
      <c r="AH98" s="374"/>
      <c r="AI98" s="375"/>
      <c r="AJ98" s="373"/>
      <c r="AK98" s="374"/>
      <c r="AL98" s="375"/>
      <c r="AM98" s="373"/>
      <c r="AN98" s="374"/>
      <c r="AO98" s="375"/>
      <c r="AP98" s="373"/>
      <c r="AQ98" s="374"/>
      <c r="AR98" s="449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57"/>
      <c r="BK98" s="57"/>
      <c r="BL98" s="57"/>
      <c r="BM98" s="47"/>
      <c r="BN98" s="47"/>
      <c r="BO98" s="47"/>
      <c r="BP98" s="59"/>
      <c r="BQ98" s="1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26"/>
      <c r="EX98" s="26"/>
    </row>
    <row r="99" spans="1:154" s="1" customFormat="1" ht="16.5" customHeight="1">
      <c r="A99" s="24"/>
      <c r="B99" s="2"/>
      <c r="D99" s="77"/>
      <c r="E99" s="77"/>
      <c r="F99" s="78"/>
      <c r="G99" s="78"/>
      <c r="H99" s="78"/>
      <c r="I99" s="78"/>
      <c r="J99" s="54"/>
      <c r="K99" s="54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385"/>
      <c r="AH99" s="374"/>
      <c r="AI99" s="375"/>
      <c r="AJ99" s="373"/>
      <c r="AK99" s="374"/>
      <c r="AL99" s="375"/>
      <c r="AM99" s="373"/>
      <c r="AN99" s="374"/>
      <c r="AO99" s="375"/>
      <c r="AP99" s="373"/>
      <c r="AQ99" s="374"/>
      <c r="AR99" s="449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57"/>
      <c r="BK99" s="57"/>
      <c r="BL99" s="57"/>
      <c r="BM99" s="47"/>
      <c r="BN99" s="47"/>
      <c r="BO99" s="47"/>
      <c r="BP99" s="59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4"/>
      <c r="EX99" s="4"/>
    </row>
    <row r="100" spans="1:166" s="41" customFormat="1" ht="16.5" customHeight="1">
      <c r="A100" s="24"/>
      <c r="B100" s="2"/>
      <c r="C100" s="1"/>
      <c r="D100" s="77"/>
      <c r="E100" s="77"/>
      <c r="F100" s="78"/>
      <c r="G100" s="78"/>
      <c r="H100" s="78"/>
      <c r="I100" s="78"/>
      <c r="J100" s="54"/>
      <c r="K100" s="54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385"/>
      <c r="AH100" s="374"/>
      <c r="AI100" s="375"/>
      <c r="AJ100" s="373"/>
      <c r="AK100" s="374"/>
      <c r="AL100" s="375"/>
      <c r="AM100" s="373"/>
      <c r="AN100" s="374"/>
      <c r="AO100" s="375"/>
      <c r="AP100" s="373"/>
      <c r="AQ100" s="374"/>
      <c r="AR100" s="449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57"/>
      <c r="BK100" s="57"/>
      <c r="BL100" s="57"/>
      <c r="BM100" s="47"/>
      <c r="BN100" s="47"/>
      <c r="BO100" s="47"/>
      <c r="BP100" s="59"/>
      <c r="BQ100" s="1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</row>
    <row r="101" spans="1:166" s="1" customFormat="1" ht="16.5" customHeight="1">
      <c r="A101" s="24"/>
      <c r="B101" s="2"/>
      <c r="D101" s="77"/>
      <c r="E101" s="77"/>
      <c r="F101" s="78"/>
      <c r="G101" s="78"/>
      <c r="H101" s="78"/>
      <c r="I101" s="78"/>
      <c r="J101" s="54"/>
      <c r="K101" s="54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385"/>
      <c r="AH101" s="374"/>
      <c r="AI101" s="375"/>
      <c r="AJ101" s="373"/>
      <c r="AK101" s="374"/>
      <c r="AL101" s="375"/>
      <c r="AM101" s="373"/>
      <c r="AN101" s="374"/>
      <c r="AO101" s="375"/>
      <c r="AP101" s="373"/>
      <c r="AQ101" s="374"/>
      <c r="AR101" s="449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57"/>
      <c r="BK101" s="57"/>
      <c r="BL101" s="57"/>
      <c r="BM101" s="47"/>
      <c r="BN101" s="47"/>
      <c r="BO101" s="47"/>
      <c r="BP101" s="59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s="1" customFormat="1" ht="16.5" customHeight="1">
      <c r="A102" s="24"/>
      <c r="B102" s="2"/>
      <c r="D102" s="77"/>
      <c r="E102" s="77"/>
      <c r="F102" s="78"/>
      <c r="G102" s="78"/>
      <c r="H102" s="78"/>
      <c r="I102" s="78"/>
      <c r="J102" s="54"/>
      <c r="K102" s="54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385"/>
      <c r="AH102" s="374"/>
      <c r="AI102" s="375"/>
      <c r="AJ102" s="373"/>
      <c r="AK102" s="374"/>
      <c r="AL102" s="375"/>
      <c r="AM102" s="373"/>
      <c r="AN102" s="374"/>
      <c r="AO102" s="375"/>
      <c r="AP102" s="373"/>
      <c r="AQ102" s="374"/>
      <c r="AR102" s="449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57"/>
      <c r="BK102" s="57"/>
      <c r="BL102" s="57"/>
      <c r="BM102" s="47"/>
      <c r="BN102" s="47"/>
      <c r="BO102" s="47"/>
      <c r="BP102" s="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s="1" customFormat="1" ht="16.5" customHeight="1">
      <c r="A103" s="24"/>
      <c r="B103" s="2"/>
      <c r="D103" s="77"/>
      <c r="E103" s="77"/>
      <c r="F103" s="78"/>
      <c r="G103" s="78"/>
      <c r="H103" s="78"/>
      <c r="I103" s="78"/>
      <c r="J103" s="44"/>
      <c r="K103" s="44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385"/>
      <c r="AH103" s="374"/>
      <c r="AI103" s="375"/>
      <c r="AJ103" s="373"/>
      <c r="AK103" s="374"/>
      <c r="AL103" s="375"/>
      <c r="AM103" s="373"/>
      <c r="AN103" s="374"/>
      <c r="AO103" s="375"/>
      <c r="AP103" s="373"/>
      <c r="AQ103" s="374"/>
      <c r="AR103" s="449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7"/>
      <c r="BH103" s="46"/>
      <c r="BI103" s="46"/>
      <c r="BJ103" s="48"/>
      <c r="BK103" s="48"/>
      <c r="BL103" s="48"/>
      <c r="BM103" s="46"/>
      <c r="BN103" s="46"/>
      <c r="BO103" s="46"/>
      <c r="BP103" s="59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s="1" customFormat="1" ht="16.5" customHeight="1" thickBot="1">
      <c r="A104" s="24"/>
      <c r="B104" s="176" t="s">
        <v>45</v>
      </c>
      <c r="C104" s="176"/>
      <c r="D104" s="176"/>
      <c r="E104" s="176"/>
      <c r="F104" s="176"/>
      <c r="G104" s="176"/>
      <c r="H104" s="176"/>
      <c r="I104" s="78"/>
      <c r="J104" s="44"/>
      <c r="K104" s="44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385"/>
      <c r="AH104" s="374"/>
      <c r="AI104" s="375"/>
      <c r="AJ104" s="373"/>
      <c r="AK104" s="374"/>
      <c r="AL104" s="375"/>
      <c r="AM104" s="373"/>
      <c r="AN104" s="374"/>
      <c r="AO104" s="375"/>
      <c r="AP104" s="373"/>
      <c r="AQ104" s="374"/>
      <c r="AR104" s="449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7"/>
      <c r="BH104" s="46"/>
      <c r="BI104" s="46"/>
      <c r="BJ104" s="48"/>
      <c r="BK104" s="48"/>
      <c r="BL104" s="48"/>
      <c r="BM104" s="46"/>
      <c r="BN104" s="46"/>
      <c r="BO104" s="46"/>
      <c r="BP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2:166" s="1" customFormat="1" ht="16.5" customHeight="1" thickBot="1">
      <c r="B105" s="244" t="s">
        <v>46</v>
      </c>
      <c r="C105" s="244"/>
      <c r="D105" s="244"/>
      <c r="E105" s="244"/>
      <c r="F105" s="244" t="s">
        <v>47</v>
      </c>
      <c r="G105" s="244"/>
      <c r="H105" s="244"/>
      <c r="I105" s="78"/>
      <c r="J105" s="399" t="str">
        <f>Ergebniseingabe!$J$94</f>
        <v>Gruppe C</v>
      </c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1"/>
      <c r="AG105" s="386"/>
      <c r="AH105" s="377"/>
      <c r="AI105" s="378"/>
      <c r="AJ105" s="376"/>
      <c r="AK105" s="377"/>
      <c r="AL105" s="378"/>
      <c r="AM105" s="376"/>
      <c r="AN105" s="377"/>
      <c r="AO105" s="378"/>
      <c r="AP105" s="376"/>
      <c r="AQ105" s="377"/>
      <c r="AR105" s="450"/>
      <c r="AS105" s="387" t="s">
        <v>19</v>
      </c>
      <c r="AT105" s="388"/>
      <c r="AU105" s="389"/>
      <c r="AV105" s="387" t="s">
        <v>20</v>
      </c>
      <c r="AW105" s="388"/>
      <c r="AX105" s="389"/>
      <c r="AY105" s="387" t="s">
        <v>21</v>
      </c>
      <c r="AZ105" s="388"/>
      <c r="BA105" s="389"/>
      <c r="BB105" s="387" t="s">
        <v>22</v>
      </c>
      <c r="BC105" s="388"/>
      <c r="BD105" s="389"/>
      <c r="BE105" s="387" t="s">
        <v>23</v>
      </c>
      <c r="BF105" s="388"/>
      <c r="BG105" s="388"/>
      <c r="BH105" s="388"/>
      <c r="BI105" s="389"/>
      <c r="BJ105" s="387" t="s">
        <v>24</v>
      </c>
      <c r="BK105" s="388"/>
      <c r="BL105" s="388"/>
      <c r="BM105" s="387" t="s">
        <v>25</v>
      </c>
      <c r="BN105" s="388"/>
      <c r="BO105" s="406"/>
      <c r="BP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</row>
    <row r="106" spans="1:166" s="1" customFormat="1" ht="16.5" customHeight="1">
      <c r="A106" s="41"/>
      <c r="B106" s="470">
        <f>IF(Ergebniseingabe!B95="","",Ergebniseingabe!B95)</f>
      </c>
      <c r="C106" s="470"/>
      <c r="D106" s="470"/>
      <c r="E106" s="470"/>
      <c r="F106" s="470">
        <f>IF(Ergebniseingabe!F95="","",Ergebniseingabe!F95)</f>
      </c>
      <c r="G106" s="470"/>
      <c r="H106" s="470"/>
      <c r="I106" s="78"/>
      <c r="J106" s="245">
        <f>Ergebniseingabe!J95</f>
      </c>
      <c r="K106" s="246"/>
      <c r="L106" s="321" t="str">
        <f>Ergebniseingabe!L95</f>
        <v>SV Rosellen 2</v>
      </c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187"/>
      <c r="AH106" s="187"/>
      <c r="AI106" s="188"/>
      <c r="AJ106" s="381">
        <f>Ergebniseingabe!AJ95</f>
      </c>
      <c r="AK106" s="382"/>
      <c r="AL106" s="383"/>
      <c r="AM106" s="381">
        <f>Ergebniseingabe!AM95</f>
      </c>
      <c r="AN106" s="382"/>
      <c r="AO106" s="383"/>
      <c r="AP106" s="327">
        <f>Ergebniseingabe!AP95</f>
      </c>
      <c r="AQ106" s="328"/>
      <c r="AR106" s="328"/>
      <c r="AS106" s="332">
        <f>Ergebniseingabe!AS95</f>
      </c>
      <c r="AT106" s="332"/>
      <c r="AU106" s="333"/>
      <c r="AV106" s="223">
        <f>Ergebniseingabe!AV95</f>
      </c>
      <c r="AW106" s="224"/>
      <c r="AX106" s="225"/>
      <c r="AY106" s="223">
        <f>Ergebniseingabe!AY95</f>
      </c>
      <c r="AZ106" s="224"/>
      <c r="BA106" s="225"/>
      <c r="BB106" s="223">
        <f>Ergebniseingabe!BB95</f>
      </c>
      <c r="BC106" s="224"/>
      <c r="BD106" s="225"/>
      <c r="BE106" s="223">
        <f>Ergebniseingabe!BE95</f>
      </c>
      <c r="BF106" s="224"/>
      <c r="BG106" s="42">
        <f>Ergebniseingabe!BG95</f>
      </c>
      <c r="BH106" s="224">
        <f>Ergebniseingabe!BH95</f>
      </c>
      <c r="BI106" s="225"/>
      <c r="BJ106" s="229">
        <f>Ergebniseingabe!BJ95</f>
      </c>
      <c r="BK106" s="230"/>
      <c r="BL106" s="230"/>
      <c r="BM106" s="223">
        <f>Ergebniseingabe!BM95</f>
      </c>
      <c r="BN106" s="224"/>
      <c r="BO106" s="334"/>
      <c r="BP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</row>
    <row r="107" spans="2:166" s="1" customFormat="1" ht="16.5" customHeight="1">
      <c r="B107" s="470">
        <f>IF(Ergebniseingabe!B96="","",Ergebniseingabe!B96)</f>
      </c>
      <c r="C107" s="470"/>
      <c r="D107" s="470"/>
      <c r="E107" s="470"/>
      <c r="F107" s="470">
        <f>IF(Ergebniseingabe!F96="","",Ergebniseingabe!F96)</f>
      </c>
      <c r="G107" s="470"/>
      <c r="H107" s="470"/>
      <c r="I107" s="78"/>
      <c r="J107" s="245">
        <f>Ergebniseingabe!J96</f>
      </c>
      <c r="K107" s="246"/>
      <c r="L107" s="183" t="str">
        <f>Ergebniseingabe!L96</f>
        <v>SG Orken-Noithausen</v>
      </c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5">
        <f>Ergebniseingabe!AG96</f>
      </c>
      <c r="AH107" s="185"/>
      <c r="AI107" s="186"/>
      <c r="AJ107" s="411"/>
      <c r="AK107" s="412"/>
      <c r="AL107" s="413"/>
      <c r="AM107" s="415">
        <f>Ergebniseingabe!AM96</f>
      </c>
      <c r="AN107" s="416"/>
      <c r="AO107" s="417"/>
      <c r="AP107" s="324">
        <f>Ergebniseingabe!AP96</f>
      </c>
      <c r="AQ107" s="185"/>
      <c r="AR107" s="185"/>
      <c r="AS107" s="366">
        <f>Ergebniseingabe!AS96</f>
      </c>
      <c r="AT107" s="366"/>
      <c r="AU107" s="367"/>
      <c r="AV107" s="223">
        <f>Ergebniseingabe!AV96</f>
      </c>
      <c r="AW107" s="224"/>
      <c r="AX107" s="225"/>
      <c r="AY107" s="223">
        <f>Ergebniseingabe!AY96</f>
      </c>
      <c r="AZ107" s="224"/>
      <c r="BA107" s="225"/>
      <c r="BB107" s="223">
        <f>Ergebniseingabe!BB96</f>
      </c>
      <c r="BC107" s="224"/>
      <c r="BD107" s="225"/>
      <c r="BE107" s="223">
        <f>Ergebniseingabe!BE96</f>
      </c>
      <c r="BF107" s="224"/>
      <c r="BG107" s="42">
        <f>Ergebniseingabe!BG96</f>
      </c>
      <c r="BH107" s="224">
        <f>Ergebniseingabe!BH96</f>
      </c>
      <c r="BI107" s="225"/>
      <c r="BJ107" s="229">
        <f>Ergebniseingabe!BJ96</f>
      </c>
      <c r="BK107" s="230"/>
      <c r="BL107" s="230"/>
      <c r="BM107" s="223">
        <f>Ergebniseingabe!BM96</f>
      </c>
      <c r="BN107" s="224"/>
      <c r="BO107" s="334"/>
      <c r="BP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</row>
    <row r="108" spans="2:166" s="1" customFormat="1" ht="16.5" customHeight="1">
      <c r="B108" s="470">
        <f>IF(Ergebniseingabe!B97="","",Ergebniseingabe!B97)</f>
      </c>
      <c r="C108" s="470"/>
      <c r="D108" s="470"/>
      <c r="E108" s="470"/>
      <c r="F108" s="470">
        <f>IF(Ergebniseingabe!F97="","",Ergebniseingabe!F97)</f>
      </c>
      <c r="G108" s="470"/>
      <c r="H108" s="470"/>
      <c r="I108" s="78"/>
      <c r="J108" s="245">
        <f>Ergebniseingabe!J97</f>
      </c>
      <c r="K108" s="246"/>
      <c r="L108" s="183" t="str">
        <f>Ergebniseingabe!L97</f>
        <v>SSV Strümp</v>
      </c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5">
        <f>Ergebniseingabe!AG97</f>
      </c>
      <c r="AH108" s="185"/>
      <c r="AI108" s="186"/>
      <c r="AJ108" s="415">
        <f>Ergebniseingabe!AJ97</f>
      </c>
      <c r="AK108" s="416"/>
      <c r="AL108" s="417"/>
      <c r="AM108" s="411"/>
      <c r="AN108" s="412"/>
      <c r="AO108" s="413"/>
      <c r="AP108" s="324">
        <f>Ergebniseingabe!AP97</f>
      </c>
      <c r="AQ108" s="185"/>
      <c r="AR108" s="185"/>
      <c r="AS108" s="366">
        <f>Ergebniseingabe!AS97</f>
      </c>
      <c r="AT108" s="366"/>
      <c r="AU108" s="367"/>
      <c r="AV108" s="223">
        <f>Ergebniseingabe!AV97</f>
      </c>
      <c r="AW108" s="224"/>
      <c r="AX108" s="225"/>
      <c r="AY108" s="223">
        <f>Ergebniseingabe!AY97</f>
      </c>
      <c r="AZ108" s="224"/>
      <c r="BA108" s="225"/>
      <c r="BB108" s="223">
        <f>Ergebniseingabe!BB97</f>
      </c>
      <c r="BC108" s="224"/>
      <c r="BD108" s="225"/>
      <c r="BE108" s="223">
        <f>Ergebniseingabe!BE97</f>
      </c>
      <c r="BF108" s="224"/>
      <c r="BG108" s="42">
        <f>Ergebniseingabe!BG97</f>
      </c>
      <c r="BH108" s="224">
        <f>Ergebniseingabe!BH97</f>
      </c>
      <c r="BI108" s="225"/>
      <c r="BJ108" s="229">
        <f>Ergebniseingabe!BJ97</f>
      </c>
      <c r="BK108" s="230"/>
      <c r="BL108" s="230"/>
      <c r="BM108" s="223">
        <f>Ergebniseingabe!BM97</f>
      </c>
      <c r="BN108" s="224"/>
      <c r="BO108" s="334"/>
      <c r="BP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</row>
    <row r="109" spans="2:166" s="1" customFormat="1" ht="16.5" customHeight="1" thickBot="1">
      <c r="B109" s="470">
        <f>IF(Ergebniseingabe!B98="","",Ergebniseingabe!B98)</f>
      </c>
      <c r="C109" s="470"/>
      <c r="D109" s="470"/>
      <c r="E109" s="470"/>
      <c r="F109" s="470">
        <f>IF(Ergebniseingabe!F98="","",Ergebniseingabe!F98)</f>
      </c>
      <c r="G109" s="470"/>
      <c r="H109" s="470"/>
      <c r="I109" s="78"/>
      <c r="J109" s="179">
        <f>Ergebniseingabe!J98</f>
      </c>
      <c r="K109" s="180"/>
      <c r="L109" s="181" t="str">
        <f>Ergebniseingabe!L98</f>
        <v>DJK Hoisten</v>
      </c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330">
        <f>Ergebniseingabe!AG98</f>
      </c>
      <c r="AH109" s="330"/>
      <c r="AI109" s="331"/>
      <c r="AJ109" s="362">
        <f>Ergebniseingabe!AJ98</f>
      </c>
      <c r="AK109" s="363"/>
      <c r="AL109" s="364"/>
      <c r="AM109" s="362">
        <f>Ergebniseingabe!AM98</f>
      </c>
      <c r="AN109" s="363"/>
      <c r="AO109" s="364"/>
      <c r="AP109" s="379"/>
      <c r="AQ109" s="380"/>
      <c r="AR109" s="380"/>
      <c r="AS109" s="368">
        <f>Ergebniseingabe!AS98</f>
      </c>
      <c r="AT109" s="368"/>
      <c r="AU109" s="369"/>
      <c r="AV109" s="226">
        <f>Ergebniseingabe!AV98</f>
      </c>
      <c r="AW109" s="227"/>
      <c r="AX109" s="228"/>
      <c r="AY109" s="226">
        <f>Ergebniseingabe!AY98</f>
      </c>
      <c r="AZ109" s="227"/>
      <c r="BA109" s="228"/>
      <c r="BB109" s="226">
        <f>Ergebniseingabe!BB98</f>
      </c>
      <c r="BC109" s="227"/>
      <c r="BD109" s="228"/>
      <c r="BE109" s="226">
        <f>Ergebniseingabe!BE98</f>
      </c>
      <c r="BF109" s="227"/>
      <c r="BG109" s="43">
        <f>Ergebniseingabe!BG98</f>
      </c>
      <c r="BH109" s="227">
        <f>Ergebniseingabe!BH98</f>
      </c>
      <c r="BI109" s="228"/>
      <c r="BJ109" s="353">
        <f>Ergebniseingabe!BJ98</f>
      </c>
      <c r="BK109" s="407"/>
      <c r="BL109" s="407"/>
      <c r="BM109" s="226">
        <f>Ergebniseingabe!BM98</f>
      </c>
      <c r="BN109" s="227"/>
      <c r="BO109" s="405"/>
      <c r="BP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</row>
    <row r="110" spans="6:166" s="1" customFormat="1" ht="16.5" customHeight="1" thickBot="1">
      <c r="F110" s="3"/>
      <c r="G110" s="2"/>
      <c r="H110" s="2"/>
      <c r="I110" s="78"/>
      <c r="J110" s="44"/>
      <c r="K110" s="44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7"/>
      <c r="AV110" s="46"/>
      <c r="AW110" s="46"/>
      <c r="AX110" s="48"/>
      <c r="AY110" s="48"/>
      <c r="AZ110" s="48"/>
      <c r="BA110" s="46"/>
      <c r="BB110" s="46"/>
      <c r="BC110" s="46"/>
      <c r="BO110" s="3"/>
      <c r="BP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</row>
    <row r="111" spans="6:166" s="1" customFormat="1" ht="16.5" customHeight="1" thickBot="1">
      <c r="F111" s="3"/>
      <c r="G111" s="2"/>
      <c r="H111" s="2"/>
      <c r="I111" s="78"/>
      <c r="J111" s="402" t="str">
        <f>Ergebniseingabe!J100</f>
        <v>Gruppen 3.</v>
      </c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  <c r="AC111" s="403"/>
      <c r="AD111" s="403"/>
      <c r="AE111" s="403"/>
      <c r="AF111" s="404"/>
      <c r="AG111" s="391" t="s">
        <v>19</v>
      </c>
      <c r="AH111" s="391"/>
      <c r="AI111" s="392"/>
      <c r="AJ111" s="390" t="s">
        <v>20</v>
      </c>
      <c r="AK111" s="391"/>
      <c r="AL111" s="392"/>
      <c r="AM111" s="390" t="s">
        <v>21</v>
      </c>
      <c r="AN111" s="391"/>
      <c r="AO111" s="392"/>
      <c r="AP111" s="390" t="s">
        <v>22</v>
      </c>
      <c r="AQ111" s="391"/>
      <c r="AR111" s="392"/>
      <c r="AS111" s="390" t="s">
        <v>23</v>
      </c>
      <c r="AT111" s="391"/>
      <c r="AU111" s="391"/>
      <c r="AV111" s="391"/>
      <c r="AW111" s="392"/>
      <c r="AX111" s="390" t="s">
        <v>24</v>
      </c>
      <c r="AY111" s="391"/>
      <c r="AZ111" s="391"/>
      <c r="BA111" s="390" t="s">
        <v>25</v>
      </c>
      <c r="BB111" s="391"/>
      <c r="BC111" s="421"/>
      <c r="BO111" s="3"/>
      <c r="BP111" s="59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</row>
    <row r="112" spans="1:169" s="1" customFormat="1" ht="16.5" customHeight="1">
      <c r="A112" s="31">
        <v>1</v>
      </c>
      <c r="B112" s="470">
        <f>IF(Ergebniseingabe!B101="","",Ergebniseingabe!B101)</f>
      </c>
      <c r="C112" s="470"/>
      <c r="D112" s="470"/>
      <c r="E112" s="470"/>
      <c r="F112" s="470">
        <f>IF(Ergebniseingabe!F101="","",Ergebniseingabe!F101)</f>
      </c>
      <c r="G112" s="470"/>
      <c r="H112" s="470"/>
      <c r="J112" s="245">
        <f>Ergebniseingabe!J101</f>
      </c>
      <c r="K112" s="246"/>
      <c r="L112" s="418">
        <f>Ergebniseingabe!L101</f>
      </c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20"/>
      <c r="AG112" s="223">
        <f>Ergebniseingabe!AG101</f>
      </c>
      <c r="AH112" s="224"/>
      <c r="AI112" s="225"/>
      <c r="AJ112" s="223">
        <f>Ergebniseingabe!AJ101</f>
      </c>
      <c r="AK112" s="224"/>
      <c r="AL112" s="225"/>
      <c r="AM112" s="223">
        <f>Ergebniseingabe!AM101</f>
      </c>
      <c r="AN112" s="224"/>
      <c r="AO112" s="225"/>
      <c r="AP112" s="223">
        <f>Ergebniseingabe!AP101</f>
      </c>
      <c r="AQ112" s="224"/>
      <c r="AR112" s="225"/>
      <c r="AS112" s="223">
        <f>Ergebniseingabe!AS101</f>
      </c>
      <c r="AT112" s="224"/>
      <c r="AU112" s="42">
        <f>Ergebniseingabe!AU101</f>
      </c>
      <c r="AV112" s="224">
        <f>Ergebniseingabe!AV101</f>
      </c>
      <c r="AW112" s="225"/>
      <c r="AX112" s="229">
        <f>Ergebniseingabe!AX101</f>
      </c>
      <c r="AY112" s="230"/>
      <c r="AZ112" s="230"/>
      <c r="BA112" s="223">
        <f>Ergebniseingabe!BA101</f>
      </c>
      <c r="BB112" s="224"/>
      <c r="BC112" s="334"/>
      <c r="BO112" s="3"/>
      <c r="BP112" s="59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9"/>
      <c r="CJ112" s="79"/>
      <c r="CK112" s="79"/>
      <c r="CL112" s="79"/>
      <c r="CM112" s="79"/>
      <c r="CN112" s="79"/>
      <c r="CO112" s="79"/>
      <c r="CP112" s="79"/>
      <c r="CQ112" s="79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47"/>
      <c r="DE112" s="47"/>
      <c r="DF112" s="47"/>
      <c r="DG112" s="47"/>
      <c r="DH112" s="47"/>
      <c r="DI112" s="57"/>
      <c r="DJ112" s="57"/>
      <c r="DK112" s="57"/>
      <c r="DL112" s="47"/>
      <c r="DM112" s="47"/>
      <c r="DN112" s="47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</row>
    <row r="113" spans="1:169" s="1" customFormat="1" ht="16.5" customHeight="1">
      <c r="A113" s="31"/>
      <c r="B113" s="470">
        <f>IF(Ergebniseingabe!B102="","",Ergebniseingabe!B102)</f>
      </c>
      <c r="C113" s="470"/>
      <c r="D113" s="470"/>
      <c r="E113" s="470"/>
      <c r="F113" s="470">
        <f>IF(Ergebniseingabe!F102="","",Ergebniseingabe!F102)</f>
      </c>
      <c r="G113" s="470"/>
      <c r="H113" s="470"/>
      <c r="I113" s="4"/>
      <c r="J113" s="245">
        <f>Ergebniseingabe!J102</f>
      </c>
      <c r="K113" s="246"/>
      <c r="L113" s="408">
        <f>Ergebniseingabe!L102</f>
      </c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10"/>
      <c r="AG113" s="223">
        <f>Ergebniseingabe!AG102</f>
      </c>
      <c r="AH113" s="224"/>
      <c r="AI113" s="225"/>
      <c r="AJ113" s="223">
        <f>Ergebniseingabe!AJ102</f>
      </c>
      <c r="AK113" s="224"/>
      <c r="AL113" s="225"/>
      <c r="AM113" s="223">
        <f>Ergebniseingabe!AM102</f>
      </c>
      <c r="AN113" s="224"/>
      <c r="AO113" s="225"/>
      <c r="AP113" s="223">
        <f>Ergebniseingabe!AP102</f>
      </c>
      <c r="AQ113" s="224"/>
      <c r="AR113" s="225"/>
      <c r="AS113" s="223">
        <f>Ergebniseingabe!AS102</f>
      </c>
      <c r="AT113" s="224"/>
      <c r="AU113" s="42">
        <f>Ergebniseingabe!AU102</f>
      </c>
      <c r="AV113" s="224">
        <f>Ergebniseingabe!AV102</f>
      </c>
      <c r="AW113" s="225"/>
      <c r="AX113" s="229">
        <f>Ergebniseingabe!AX102</f>
      </c>
      <c r="AY113" s="230"/>
      <c r="AZ113" s="230"/>
      <c r="BA113" s="223">
        <f>Ergebniseingabe!BA102</f>
      </c>
      <c r="BB113" s="224"/>
      <c r="BC113" s="334"/>
      <c r="BO113" s="3"/>
      <c r="BP113" s="3"/>
      <c r="BQ113" s="78"/>
      <c r="BS113" s="54"/>
      <c r="BT113" s="54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57"/>
      <c r="DT113" s="57"/>
      <c r="DU113" s="57"/>
      <c r="DV113" s="47"/>
      <c r="DW113" s="47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</row>
    <row r="114" spans="1:169" s="1" customFormat="1" ht="16.5" customHeight="1" thickBot="1">
      <c r="A114" s="31"/>
      <c r="B114" s="470">
        <f>IF(Ergebniseingabe!B103="","",Ergebniseingabe!B103)</f>
      </c>
      <c r="C114" s="470"/>
      <c r="D114" s="470"/>
      <c r="E114" s="470"/>
      <c r="F114" s="470">
        <f>IF(Ergebniseingabe!F103="","",Ergebniseingabe!F103)</f>
      </c>
      <c r="G114" s="470"/>
      <c r="H114" s="470"/>
      <c r="I114" s="147"/>
      <c r="J114" s="179">
        <f>Ergebniseingabe!J103</f>
      </c>
      <c r="K114" s="180"/>
      <c r="L114" s="312">
        <f>Ergebniseingabe!L103</f>
      </c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4"/>
      <c r="AG114" s="226">
        <f>Ergebniseingabe!AG103</f>
      </c>
      <c r="AH114" s="227"/>
      <c r="AI114" s="228"/>
      <c r="AJ114" s="226">
        <f>Ergebniseingabe!AJ103</f>
      </c>
      <c r="AK114" s="227"/>
      <c r="AL114" s="228"/>
      <c r="AM114" s="226">
        <f>Ergebniseingabe!AM103</f>
      </c>
      <c r="AN114" s="227"/>
      <c r="AO114" s="228"/>
      <c r="AP114" s="226">
        <f>Ergebniseingabe!AP103</f>
      </c>
      <c r="AQ114" s="227"/>
      <c r="AR114" s="228"/>
      <c r="AS114" s="226">
        <f>Ergebniseingabe!AS103</f>
      </c>
      <c r="AT114" s="227"/>
      <c r="AU114" s="43">
        <f>Ergebniseingabe!AU103</f>
      </c>
      <c r="AV114" s="227">
        <f>Ergebniseingabe!AV103</f>
      </c>
      <c r="AW114" s="228"/>
      <c r="AX114" s="353">
        <f>Ergebniseingabe!AX103</f>
      </c>
      <c r="AY114" s="407"/>
      <c r="AZ114" s="407"/>
      <c r="BA114" s="226">
        <f>Ergebniseingabe!BA103</f>
      </c>
      <c r="BB114" s="227"/>
      <c r="BC114" s="405"/>
      <c r="BO114" s="30"/>
      <c r="BP114" s="3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</row>
    <row r="115" spans="54:155" s="1" customFormat="1" ht="7.5" customHeight="1">
      <c r="BB115" s="2"/>
      <c r="BC115" s="2"/>
      <c r="BD115" s="2"/>
      <c r="BE115" s="2"/>
      <c r="BF115" s="2"/>
      <c r="BG115" s="2"/>
      <c r="BH115" s="2"/>
      <c r="BI115" s="2"/>
      <c r="BJ115" s="2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5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</row>
    <row r="116" spans="2:155" s="1" customFormat="1" ht="33" customHeight="1">
      <c r="B116" s="456" t="str">
        <f>B2</f>
        <v>SV 1930 Rosellen e.V.</v>
      </c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V116" s="456"/>
      <c r="AW116" s="456"/>
      <c r="AX116" s="456"/>
      <c r="AY116" s="456"/>
      <c r="AZ116" s="456"/>
      <c r="BA116" s="456"/>
      <c r="BB116" s="10"/>
      <c r="BC116" s="301" t="s">
        <v>0</v>
      </c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75"/>
      <c r="BP116" s="75"/>
      <c r="BQ116" s="75"/>
      <c r="BR116" s="75"/>
      <c r="BS116" s="3"/>
      <c r="BT116" s="3"/>
      <c r="BU116" s="3"/>
      <c r="BV116" s="4"/>
      <c r="BW116" s="5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</row>
    <row r="117" spans="2:155" s="6" customFormat="1" ht="27" customHeight="1">
      <c r="B117" s="456" t="str">
        <f>B3</f>
        <v>Grosser Dienstleistungen-Cup</v>
      </c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6"/>
      <c r="AY117" s="456"/>
      <c r="AZ117" s="456"/>
      <c r="BA117" s="456"/>
      <c r="BB117" s="10"/>
      <c r="BC117" s="301"/>
      <c r="BD117" s="301"/>
      <c r="BE117" s="301"/>
      <c r="BF117" s="301"/>
      <c r="BG117" s="301"/>
      <c r="BH117" s="301"/>
      <c r="BI117" s="301"/>
      <c r="BJ117" s="301"/>
      <c r="BK117" s="301"/>
      <c r="BL117" s="301"/>
      <c r="BM117" s="301"/>
      <c r="BN117" s="301"/>
      <c r="BO117" s="75"/>
      <c r="BP117" s="75"/>
      <c r="BQ117" s="75"/>
      <c r="BR117" s="75"/>
      <c r="BS117" s="7"/>
      <c r="BT117" s="7"/>
      <c r="BU117" s="7"/>
      <c r="BV117" s="8"/>
      <c r="BW117" s="9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</row>
    <row r="118" spans="1:155" s="11" customFormat="1" ht="1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3"/>
      <c r="BC118" s="14"/>
      <c r="BD118" s="14"/>
      <c r="BE118" s="14"/>
      <c r="BF118" s="14"/>
      <c r="BG118" s="14"/>
      <c r="BH118" s="14"/>
      <c r="BI118" s="14"/>
      <c r="BJ118" s="14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6"/>
      <c r="BW118" s="17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</row>
    <row r="119" spans="44:155" s="11" customFormat="1" ht="6" customHeight="1"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3"/>
      <c r="BC119" s="14"/>
      <c r="BD119" s="14"/>
      <c r="BE119" s="14"/>
      <c r="BF119" s="14"/>
      <c r="BG119" s="14"/>
      <c r="BH119" s="14"/>
      <c r="BI119" s="14"/>
      <c r="BJ119" s="14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6"/>
      <c r="BW119" s="17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</row>
    <row r="120" spans="2:155" s="18" customFormat="1" ht="15">
      <c r="B120" s="465">
        <f>B6</f>
        <v>42504</v>
      </c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465"/>
      <c r="AP120" s="465"/>
      <c r="AQ120" s="465"/>
      <c r="AR120" s="465"/>
      <c r="AS120" s="465"/>
      <c r="AT120" s="465"/>
      <c r="AU120" s="465"/>
      <c r="AV120" s="465"/>
      <c r="AW120" s="465"/>
      <c r="AX120" s="465"/>
      <c r="AY120" s="465"/>
      <c r="AZ120" s="465"/>
      <c r="BA120" s="465"/>
      <c r="BB120" s="19"/>
      <c r="BC120" s="20"/>
      <c r="BD120" s="20"/>
      <c r="BE120" s="20"/>
      <c r="BF120" s="20"/>
      <c r="BG120" s="20"/>
      <c r="BH120" s="20"/>
      <c r="BI120" s="20"/>
      <c r="BJ120" s="20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2"/>
      <c r="BW120" s="23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</row>
    <row r="121" spans="44:155" s="11" customFormat="1" ht="6" customHeight="1"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3"/>
      <c r="BC121" s="14"/>
      <c r="BD121" s="14"/>
      <c r="BE121" s="14"/>
      <c r="BF121" s="14"/>
      <c r="BG121" s="14"/>
      <c r="BH121" s="14"/>
      <c r="BI121" s="14"/>
      <c r="BJ121" s="14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6"/>
      <c r="BW121" s="17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</row>
    <row r="122" spans="2:155" s="24" customFormat="1" ht="15">
      <c r="B122" s="466" t="str">
        <f>B8</f>
        <v>Bezirkssportanlage Rosellen, Rosellener Schulstr. 11, 41470 Neuss</v>
      </c>
      <c r="C122" s="466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466"/>
      <c r="R122" s="466"/>
      <c r="S122" s="466"/>
      <c r="T122" s="466"/>
      <c r="U122" s="466"/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6"/>
      <c r="AN122" s="466"/>
      <c r="AO122" s="466"/>
      <c r="AP122" s="466"/>
      <c r="AQ122" s="466"/>
      <c r="AR122" s="466"/>
      <c r="AS122" s="466"/>
      <c r="AT122" s="466"/>
      <c r="AU122" s="466"/>
      <c r="AV122" s="466"/>
      <c r="AW122" s="466"/>
      <c r="AX122" s="466"/>
      <c r="AY122" s="466"/>
      <c r="AZ122" s="466"/>
      <c r="BA122" s="466"/>
      <c r="BB122" s="18"/>
      <c r="BC122" s="18"/>
      <c r="BD122" s="18"/>
      <c r="BE122" s="18"/>
      <c r="BF122" s="18"/>
      <c r="BG122" s="18"/>
      <c r="BH122" s="18"/>
      <c r="BI122" s="18"/>
      <c r="BJ122" s="18"/>
      <c r="BK122" s="21"/>
      <c r="BL122" s="21"/>
      <c r="BM122" s="21"/>
      <c r="BN122" s="21"/>
      <c r="BO122" s="21"/>
      <c r="BP122" s="21"/>
      <c r="BQ122" s="21"/>
      <c r="BR122" s="21"/>
      <c r="BS122" s="25"/>
      <c r="BT122" s="25"/>
      <c r="BU122" s="25"/>
      <c r="BV122" s="26"/>
      <c r="BW122" s="27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</row>
    <row r="123" spans="54:155" s="11" customFormat="1" ht="6" customHeight="1">
      <c r="BB123" s="14"/>
      <c r="BC123" s="14"/>
      <c r="BD123" s="14"/>
      <c r="BE123" s="14"/>
      <c r="BF123" s="14"/>
      <c r="BG123" s="14"/>
      <c r="BH123" s="14"/>
      <c r="BI123" s="14"/>
      <c r="BJ123" s="14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6"/>
      <c r="BW123" s="17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2:154" s="1" customFormat="1" ht="16.5" customHeight="1">
      <c r="B124" s="34"/>
      <c r="C124" s="62" t="s">
        <v>26</v>
      </c>
      <c r="D124" s="34"/>
      <c r="E124" s="34"/>
      <c r="F124" s="34"/>
      <c r="G124" s="34"/>
      <c r="H124" s="34"/>
      <c r="I124" s="34"/>
      <c r="J124" s="50"/>
      <c r="AF124" s="51"/>
      <c r="BB124" s="2"/>
      <c r="BC124" s="2"/>
      <c r="BD124" s="2"/>
      <c r="BE124" s="2"/>
      <c r="BF124" s="2"/>
      <c r="BG124" s="2"/>
      <c r="BH124" s="2"/>
      <c r="BI124" s="2"/>
      <c r="BJ124" s="146"/>
      <c r="BK124" s="146"/>
      <c r="BL124" s="146"/>
      <c r="BM124" s="146"/>
      <c r="BN124" s="146"/>
      <c r="BO124" s="146"/>
      <c r="BP124" s="146"/>
      <c r="BQ124" s="146"/>
      <c r="BR124" s="150"/>
      <c r="BS124" s="150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52"/>
      <c r="DP124" s="152"/>
      <c r="DQ124" s="152"/>
      <c r="DR124" s="153"/>
      <c r="DS124" s="153"/>
      <c r="DT124" s="153"/>
      <c r="DU124" s="152"/>
      <c r="DV124" s="152"/>
      <c r="DW124" s="152"/>
      <c r="DX124" s="4"/>
      <c r="DY124" s="4"/>
      <c r="DZ124" s="26"/>
      <c r="EA124" s="26"/>
      <c r="EB124" s="26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</row>
    <row r="125" spans="1:154" s="1" customFormat="1" ht="16.5" customHeight="1">
      <c r="A125" s="96"/>
      <c r="BB125" s="2"/>
      <c r="BC125" s="2"/>
      <c r="BD125" s="2"/>
      <c r="BE125" s="2"/>
      <c r="BF125" s="2"/>
      <c r="BG125" s="2"/>
      <c r="BH125" s="2"/>
      <c r="BI125" s="2"/>
      <c r="BJ125" s="146"/>
      <c r="BK125" s="146"/>
      <c r="BL125" s="146"/>
      <c r="BM125" s="146"/>
      <c r="BN125" s="146"/>
      <c r="BO125" s="146"/>
      <c r="BP125" s="146"/>
      <c r="BQ125" s="146"/>
      <c r="BR125" s="150"/>
      <c r="BS125" s="150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52"/>
      <c r="DP125" s="152"/>
      <c r="DQ125" s="152"/>
      <c r="DR125" s="153"/>
      <c r="DS125" s="153"/>
      <c r="DT125" s="153"/>
      <c r="DU125" s="152"/>
      <c r="DV125" s="152"/>
      <c r="DW125" s="152"/>
      <c r="DX125" s="22"/>
      <c r="DY125" s="22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4"/>
      <c r="ES125" s="4"/>
      <c r="ET125" s="4"/>
      <c r="EU125" s="4"/>
      <c r="EV125" s="4"/>
      <c r="EW125" s="4"/>
      <c r="EX125" s="4"/>
    </row>
    <row r="126" spans="1:154" s="24" customFormat="1" ht="16.5" customHeight="1">
      <c r="A126" s="1"/>
      <c r="B126" s="222" t="s">
        <v>48</v>
      </c>
      <c r="C126" s="222"/>
      <c r="D126" s="222"/>
      <c r="E126" s="222"/>
      <c r="F126" s="222"/>
      <c r="G126" s="222"/>
      <c r="H126" s="471">
        <f>Ergebniseingabe!H108</f>
        <v>0.5104166666666666</v>
      </c>
      <c r="I126" s="471"/>
      <c r="J126" s="471"/>
      <c r="K126" s="471"/>
      <c r="L126" s="96" t="s">
        <v>1</v>
      </c>
      <c r="M126" s="96"/>
      <c r="N126" s="96"/>
      <c r="O126" s="96"/>
      <c r="P126" s="96"/>
      <c r="Q126" s="96"/>
      <c r="R126" s="96"/>
      <c r="S126" s="96"/>
      <c r="T126" s="97" t="s">
        <v>2</v>
      </c>
      <c r="U126" s="219">
        <f>Ergebniseingabe!U108</f>
        <v>1</v>
      </c>
      <c r="V126" s="219"/>
      <c r="W126" s="98" t="s">
        <v>3</v>
      </c>
      <c r="X126" s="267">
        <f>Ergebniseingabe!X108</f>
        <v>17</v>
      </c>
      <c r="Y126" s="267"/>
      <c r="Z126" s="267"/>
      <c r="AA126" s="267"/>
      <c r="AB126" s="267"/>
      <c r="AC126" s="221">
        <f>IF(U126=2,"Halbzeit:","")</f>
      </c>
      <c r="AD126" s="221"/>
      <c r="AE126" s="221"/>
      <c r="AF126" s="221"/>
      <c r="AG126" s="221"/>
      <c r="AH126" s="221"/>
      <c r="AI126" s="267">
        <f>Ergebniseingabe!AI108</f>
        <v>0</v>
      </c>
      <c r="AJ126" s="267"/>
      <c r="AK126" s="267"/>
      <c r="AL126" s="267"/>
      <c r="AM126" s="267"/>
      <c r="AN126" s="222" t="s">
        <v>4</v>
      </c>
      <c r="AO126" s="222"/>
      <c r="AP126" s="222"/>
      <c r="AQ126" s="222"/>
      <c r="AR126" s="222"/>
      <c r="AS126" s="222"/>
      <c r="AT126" s="222"/>
      <c r="AU126" s="222"/>
      <c r="AV126" s="222"/>
      <c r="AW126" s="263">
        <f>Ergebniseingabe!AW108</f>
        <v>3</v>
      </c>
      <c r="AX126" s="263"/>
      <c r="AY126" s="263"/>
      <c r="AZ126" s="263"/>
      <c r="BA126" s="263"/>
      <c r="BB126" s="2"/>
      <c r="BC126" s="2"/>
      <c r="BD126" s="2"/>
      <c r="BE126" s="2"/>
      <c r="BF126" s="2"/>
      <c r="BG126" s="2"/>
      <c r="BH126" s="2"/>
      <c r="BI126" s="2"/>
      <c r="BJ126" s="146"/>
      <c r="BK126" s="146"/>
      <c r="BL126" s="146"/>
      <c r="BM126" s="146"/>
      <c r="BN126" s="146"/>
      <c r="BO126" s="146"/>
      <c r="BP126" s="146"/>
      <c r="BQ126" s="146"/>
      <c r="BR126" s="150"/>
      <c r="BS126" s="150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52"/>
      <c r="DP126" s="152"/>
      <c r="DQ126" s="152"/>
      <c r="DR126" s="153"/>
      <c r="DS126" s="153"/>
      <c r="DT126" s="153"/>
      <c r="DU126" s="152"/>
      <c r="DV126" s="152"/>
      <c r="DW126" s="152"/>
      <c r="DX126" s="22"/>
      <c r="DY126" s="22"/>
      <c r="DZ126" s="21"/>
      <c r="EA126" s="21"/>
      <c r="EB126" s="21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</row>
    <row r="127" spans="1:154" s="24" customFormat="1" ht="16.5" customHeight="1">
      <c r="A127" s="1"/>
      <c r="B127" s="97"/>
      <c r="C127" s="97"/>
      <c r="D127" s="97"/>
      <c r="E127" s="97"/>
      <c r="F127" s="97"/>
      <c r="G127" s="97"/>
      <c r="H127" s="142"/>
      <c r="I127" s="142"/>
      <c r="J127" s="142"/>
      <c r="K127" s="142"/>
      <c r="L127" s="96"/>
      <c r="M127" s="96"/>
      <c r="N127" s="96"/>
      <c r="O127" s="96"/>
      <c r="P127" s="96"/>
      <c r="Q127" s="96"/>
      <c r="R127" s="96"/>
      <c r="S127" s="96"/>
      <c r="T127" s="97"/>
      <c r="U127" s="98"/>
      <c r="V127" s="98"/>
      <c r="W127" s="98"/>
      <c r="X127" s="143"/>
      <c r="Y127" s="143"/>
      <c r="Z127" s="143"/>
      <c r="AA127" s="143"/>
      <c r="AB127" s="143"/>
      <c r="AC127" s="140"/>
      <c r="AD127" s="140"/>
      <c r="AE127" s="140"/>
      <c r="AF127" s="140"/>
      <c r="AG127" s="140"/>
      <c r="AH127" s="140"/>
      <c r="AI127" s="143"/>
      <c r="AJ127" s="143"/>
      <c r="AK127" s="143"/>
      <c r="AL127" s="143"/>
      <c r="AM127" s="143"/>
      <c r="AN127" s="97"/>
      <c r="AO127" s="97"/>
      <c r="AP127" s="97"/>
      <c r="AQ127" s="97"/>
      <c r="AR127" s="97"/>
      <c r="AS127" s="97"/>
      <c r="AT127" s="97"/>
      <c r="AU127" s="97"/>
      <c r="AV127" s="97"/>
      <c r="AW127" s="141"/>
      <c r="AX127" s="141"/>
      <c r="AY127" s="141"/>
      <c r="AZ127" s="141"/>
      <c r="BA127" s="141"/>
      <c r="BB127" s="2"/>
      <c r="BC127" s="2"/>
      <c r="BD127" s="2"/>
      <c r="BE127" s="2"/>
      <c r="BF127" s="2"/>
      <c r="BG127" s="2"/>
      <c r="BH127" s="2"/>
      <c r="BI127" s="2"/>
      <c r="BJ127" s="146"/>
      <c r="BK127" s="146"/>
      <c r="BL127" s="146"/>
      <c r="BM127" s="146"/>
      <c r="BN127" s="146"/>
      <c r="BO127" s="146"/>
      <c r="BP127" s="146"/>
      <c r="BQ127" s="146"/>
      <c r="BR127" s="150"/>
      <c r="BS127" s="150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52"/>
      <c r="DP127" s="152"/>
      <c r="DQ127" s="152"/>
      <c r="DR127" s="153"/>
      <c r="DS127" s="153"/>
      <c r="DT127" s="153"/>
      <c r="DU127" s="152"/>
      <c r="DV127" s="152"/>
      <c r="DW127" s="152"/>
      <c r="DX127" s="22"/>
      <c r="DY127" s="22"/>
      <c r="DZ127" s="21"/>
      <c r="EA127" s="21"/>
      <c r="EB127" s="21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</row>
    <row r="128" spans="1:152" s="18" customFormat="1" ht="16.5" customHeight="1" thickBot="1">
      <c r="A128" s="1"/>
      <c r="B128" s="97"/>
      <c r="C128" s="97"/>
      <c r="D128" s="97"/>
      <c r="E128" s="97"/>
      <c r="F128" s="97"/>
      <c r="G128" s="97"/>
      <c r="H128" s="142"/>
      <c r="I128" s="142"/>
      <c r="J128" s="97"/>
      <c r="K128" s="97"/>
      <c r="L128" s="142"/>
      <c r="M128" s="142"/>
      <c r="N128" s="142"/>
      <c r="O128" s="142"/>
      <c r="P128" s="96"/>
      <c r="Q128" s="96"/>
      <c r="R128" s="96"/>
      <c r="S128" s="96"/>
      <c r="T128" s="96"/>
      <c r="U128" s="96"/>
      <c r="V128" s="96"/>
      <c r="W128" s="96"/>
      <c r="X128" s="97"/>
      <c r="Y128" s="98"/>
      <c r="Z128" s="98"/>
      <c r="AA128" s="98"/>
      <c r="AB128" s="143"/>
      <c r="AC128" s="143"/>
      <c r="AD128" s="143"/>
      <c r="AE128" s="143"/>
      <c r="AF128" s="143"/>
      <c r="AG128" s="140"/>
      <c r="AH128" s="140"/>
      <c r="AI128" s="140"/>
      <c r="AJ128" s="140"/>
      <c r="AK128" s="140"/>
      <c r="AL128" s="140"/>
      <c r="AM128" s="143"/>
      <c r="AN128" s="143"/>
      <c r="AO128" s="143"/>
      <c r="AP128" s="143"/>
      <c r="AQ128" s="143"/>
      <c r="AR128" s="97"/>
      <c r="AS128" s="97"/>
      <c r="AT128" s="97"/>
      <c r="AU128" s="97"/>
      <c r="AV128" s="97"/>
      <c r="AW128" s="97"/>
      <c r="AX128" s="97"/>
      <c r="AY128" s="97"/>
      <c r="AZ128" s="97"/>
      <c r="BA128" s="141"/>
      <c r="BB128" s="141"/>
      <c r="BC128" s="141"/>
      <c r="BD128" s="141"/>
      <c r="BE128" s="141"/>
      <c r="BF128" s="2"/>
      <c r="BG128" s="2"/>
      <c r="BH128" s="2"/>
      <c r="BI128" s="2"/>
      <c r="BJ128" s="2"/>
      <c r="BK128" s="2"/>
      <c r="BL128" s="2"/>
      <c r="BM128" s="2"/>
      <c r="BN128" s="146"/>
      <c r="BO128" s="146"/>
      <c r="BP128" s="146"/>
      <c r="BT128" s="3"/>
      <c r="BU128" s="3"/>
      <c r="BV128" s="3"/>
      <c r="BW128" s="3"/>
      <c r="BX128" s="3"/>
      <c r="BY128" s="3"/>
      <c r="BZ128" s="3"/>
      <c r="CA128" s="32"/>
      <c r="CB128" s="3"/>
      <c r="CC128" s="3"/>
      <c r="CD128" s="3"/>
      <c r="CE128" s="3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22"/>
      <c r="DY128" s="22"/>
      <c r="DZ128" s="22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21"/>
      <c r="EQ128" s="21"/>
      <c r="ER128" s="21"/>
      <c r="ES128" s="21"/>
      <c r="ET128" s="21"/>
      <c r="EU128" s="21"/>
      <c r="EV128" s="21"/>
    </row>
    <row r="129" spans="4:152" s="1" customFormat="1" ht="16.5" customHeight="1" thickBot="1">
      <c r="D129" s="241" t="s">
        <v>10</v>
      </c>
      <c r="E129" s="242"/>
      <c r="F129" s="243" t="s">
        <v>47</v>
      </c>
      <c r="G129" s="243"/>
      <c r="H129" s="243"/>
      <c r="I129" s="242"/>
      <c r="J129" s="243" t="s">
        <v>49</v>
      </c>
      <c r="K129" s="243"/>
      <c r="L129" s="243"/>
      <c r="M129" s="242"/>
      <c r="N129" s="264" t="s">
        <v>62</v>
      </c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3"/>
      <c r="BB129" s="243"/>
      <c r="BC129" s="243"/>
      <c r="BD129" s="242"/>
      <c r="BE129" s="264" t="s">
        <v>13</v>
      </c>
      <c r="BF129" s="243"/>
      <c r="BG129" s="243"/>
      <c r="BH129" s="243"/>
      <c r="BI129" s="242"/>
      <c r="BJ129" s="281"/>
      <c r="BK129" s="282"/>
      <c r="BL129" s="282"/>
      <c r="BM129" s="283"/>
      <c r="BN129" s="21"/>
      <c r="BO129" s="22"/>
      <c r="BP129" s="18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2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4"/>
      <c r="EQ129" s="4"/>
      <c r="ER129" s="4"/>
      <c r="ES129" s="4"/>
      <c r="ET129" s="4"/>
      <c r="EU129" s="4"/>
      <c r="EV129" s="4"/>
    </row>
    <row r="130" spans="1:152" s="18" customFormat="1" ht="15">
      <c r="A130" s="1"/>
      <c r="B130" s="1"/>
      <c r="C130" s="1"/>
      <c r="D130" s="239">
        <v>20</v>
      </c>
      <c r="E130" s="158"/>
      <c r="F130" s="156">
        <f>Ergebniseingabe!F112</f>
        <v>1</v>
      </c>
      <c r="G130" s="157"/>
      <c r="H130" s="157"/>
      <c r="I130" s="158"/>
      <c r="J130" s="259">
        <f>Ergebniseingabe!J112</f>
        <v>0.5104166666666666</v>
      </c>
      <c r="K130" s="259"/>
      <c r="L130" s="259"/>
      <c r="M130" s="260"/>
      <c r="N130" s="177">
        <f>Ergebniseingabe!$N$112</f>
      </c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39" t="s">
        <v>16</v>
      </c>
      <c r="AJ130" s="178">
        <f>Ergebniseingabe!$AJ$112</f>
      </c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270"/>
      <c r="BE130" s="463">
        <f>IF(Ergebniseingabe!BE112="","",Ergebniseingabe!BE112)</f>
      </c>
      <c r="BF130" s="464"/>
      <c r="BG130" s="464"/>
      <c r="BH130" s="459">
        <f>IF(Ergebniseingabe!BH112="","",Ergebniseingabe!BH112)</f>
      </c>
      <c r="BI130" s="317"/>
      <c r="BJ130" s="467">
        <f>IF(Ergebniseingabe!BJ112="","",Ergebniseingabe!BJ112)</f>
      </c>
      <c r="BK130" s="468"/>
      <c r="BL130" s="468"/>
      <c r="BM130" s="469"/>
      <c r="BN130" s="15"/>
      <c r="BP130" s="1"/>
      <c r="BQ130" s="1"/>
      <c r="BR130" s="1"/>
      <c r="BS130" s="1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</row>
    <row r="131" spans="1:158" s="24" customFormat="1" ht="16.5" customHeight="1" thickBot="1">
      <c r="A131" s="63"/>
      <c r="B131" s="63"/>
      <c r="C131" s="1"/>
      <c r="D131" s="240"/>
      <c r="E131" s="161"/>
      <c r="F131" s="159"/>
      <c r="G131" s="160"/>
      <c r="H131" s="160"/>
      <c r="I131" s="161"/>
      <c r="J131" s="261"/>
      <c r="K131" s="261"/>
      <c r="L131" s="261"/>
      <c r="M131" s="262"/>
      <c r="N131" s="271" t="s">
        <v>68</v>
      </c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64"/>
      <c r="AJ131" s="272" t="s">
        <v>69</v>
      </c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315"/>
      <c r="BE131" s="273"/>
      <c r="BF131" s="274"/>
      <c r="BG131" s="274"/>
      <c r="BH131" s="274"/>
      <c r="BI131" s="274"/>
      <c r="BJ131" s="247"/>
      <c r="BK131" s="248"/>
      <c r="BL131" s="248"/>
      <c r="BM131" s="249"/>
      <c r="BN131" s="15"/>
      <c r="BO131" s="1"/>
      <c r="BP131" s="1"/>
      <c r="BQ131" s="146"/>
      <c r="BR131" s="146"/>
      <c r="BS131" s="146"/>
      <c r="BT131" s="146"/>
      <c r="BU131" s="146"/>
      <c r="BV131" s="150"/>
      <c r="BW131" s="150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52"/>
      <c r="DT131" s="152"/>
      <c r="DU131" s="152"/>
      <c r="DV131" s="153"/>
      <c r="DW131" s="153"/>
      <c r="DX131" s="153"/>
      <c r="DY131" s="152"/>
      <c r="DZ131" s="152"/>
      <c r="EA131" s="152"/>
      <c r="EB131" s="22"/>
      <c r="EC131" s="22"/>
      <c r="ED131" s="21"/>
      <c r="EE131" s="21"/>
      <c r="EF131" s="21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</row>
    <row r="132" spans="1:158" s="24" customFormat="1" ht="16.5" customHeight="1" thickBot="1">
      <c r="A132" s="1"/>
      <c r="B132" s="97"/>
      <c r="C132" s="97"/>
      <c r="D132" s="97"/>
      <c r="E132" s="97"/>
      <c r="F132" s="97"/>
      <c r="G132" s="97"/>
      <c r="H132" s="142"/>
      <c r="I132" s="142"/>
      <c r="J132" s="97"/>
      <c r="K132" s="97"/>
      <c r="L132" s="142"/>
      <c r="M132" s="142"/>
      <c r="N132" s="142"/>
      <c r="O132" s="142"/>
      <c r="P132" s="96"/>
      <c r="Q132" s="96"/>
      <c r="R132" s="96"/>
      <c r="S132" s="96"/>
      <c r="T132" s="96"/>
      <c r="U132" s="96"/>
      <c r="V132" s="96"/>
      <c r="W132" s="96"/>
      <c r="X132" s="97"/>
      <c r="Y132" s="98"/>
      <c r="Z132" s="98"/>
      <c r="AA132" s="98"/>
      <c r="AB132" s="143"/>
      <c r="AC132" s="143"/>
      <c r="AD132" s="143"/>
      <c r="AE132" s="143"/>
      <c r="AF132" s="143"/>
      <c r="AG132" s="140"/>
      <c r="AH132" s="140"/>
      <c r="AI132" s="140"/>
      <c r="AJ132" s="140"/>
      <c r="AK132" s="140"/>
      <c r="AL132" s="140"/>
      <c r="AM132" s="143"/>
      <c r="AN132" s="143"/>
      <c r="AO132" s="143"/>
      <c r="AP132" s="143"/>
      <c r="AQ132" s="143"/>
      <c r="AR132" s="97"/>
      <c r="AS132" s="97"/>
      <c r="AT132" s="97"/>
      <c r="AU132" s="97"/>
      <c r="AV132" s="97"/>
      <c r="AW132" s="97"/>
      <c r="AX132" s="97"/>
      <c r="AY132" s="97"/>
      <c r="AZ132" s="97"/>
      <c r="BA132" s="141"/>
      <c r="BB132" s="141"/>
      <c r="BC132" s="141"/>
      <c r="BD132" s="141"/>
      <c r="BE132" s="141"/>
      <c r="BF132" s="2"/>
      <c r="BG132" s="2"/>
      <c r="BH132" s="2"/>
      <c r="BI132" s="2"/>
      <c r="BJ132" s="2"/>
      <c r="BK132" s="2"/>
      <c r="BL132" s="2"/>
      <c r="BM132" s="2"/>
      <c r="BN132" s="146"/>
      <c r="BO132" s="146"/>
      <c r="BP132" s="146"/>
      <c r="BQ132" s="146"/>
      <c r="BR132" s="146"/>
      <c r="BS132" s="146"/>
      <c r="BT132" s="146"/>
      <c r="BU132" s="146"/>
      <c r="BV132" s="150"/>
      <c r="BW132" s="150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52"/>
      <c r="DT132" s="152"/>
      <c r="DU132" s="152"/>
      <c r="DV132" s="153"/>
      <c r="DW132" s="153"/>
      <c r="DX132" s="153"/>
      <c r="DY132" s="152"/>
      <c r="DZ132" s="152"/>
      <c r="EA132" s="152"/>
      <c r="EB132" s="22"/>
      <c r="EC132" s="22"/>
      <c r="ED132" s="21"/>
      <c r="EE132" s="21"/>
      <c r="EF132" s="21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</row>
    <row r="133" spans="1:152" s="18" customFormat="1" ht="16.5" customHeight="1" thickBot="1">
      <c r="A133" s="1"/>
      <c r="B133" s="1"/>
      <c r="C133" s="1"/>
      <c r="D133" s="241" t="s">
        <v>10</v>
      </c>
      <c r="E133" s="242"/>
      <c r="F133" s="243" t="s">
        <v>47</v>
      </c>
      <c r="G133" s="243"/>
      <c r="H133" s="243"/>
      <c r="I133" s="242"/>
      <c r="J133" s="243" t="s">
        <v>49</v>
      </c>
      <c r="K133" s="243"/>
      <c r="L133" s="243"/>
      <c r="M133" s="242"/>
      <c r="N133" s="264" t="s">
        <v>63</v>
      </c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2"/>
      <c r="BE133" s="264" t="s">
        <v>13</v>
      </c>
      <c r="BF133" s="243"/>
      <c r="BG133" s="243"/>
      <c r="BH133" s="243"/>
      <c r="BI133" s="242"/>
      <c r="BJ133" s="281"/>
      <c r="BK133" s="282"/>
      <c r="BL133" s="282"/>
      <c r="BM133" s="283"/>
      <c r="BN133" s="21"/>
      <c r="BO133" s="22"/>
      <c r="BT133" s="3"/>
      <c r="BU133" s="3"/>
      <c r="BV133" s="3"/>
      <c r="BW133" s="3"/>
      <c r="BX133" s="3"/>
      <c r="BY133" s="3"/>
      <c r="BZ133" s="3"/>
      <c r="CA133" s="32"/>
      <c r="CB133" s="3"/>
      <c r="CC133" s="3"/>
      <c r="CD133" s="3"/>
      <c r="CE133" s="3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22"/>
      <c r="DY133" s="22"/>
      <c r="DZ133" s="22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21"/>
      <c r="EQ133" s="21"/>
      <c r="ER133" s="21"/>
      <c r="ES133" s="21"/>
      <c r="ET133" s="21"/>
      <c r="EU133" s="21"/>
      <c r="EV133" s="21"/>
    </row>
    <row r="134" spans="4:152" s="1" customFormat="1" ht="16.5" customHeight="1">
      <c r="D134" s="239">
        <v>21</v>
      </c>
      <c r="E134" s="158"/>
      <c r="F134" s="156">
        <f>Ergebniseingabe!F116</f>
        <v>2</v>
      </c>
      <c r="G134" s="157"/>
      <c r="H134" s="157"/>
      <c r="I134" s="158"/>
      <c r="J134" s="259">
        <f>Ergebniseingabe!J116</f>
        <v>0.5104166666666666</v>
      </c>
      <c r="K134" s="259"/>
      <c r="L134" s="259"/>
      <c r="M134" s="260"/>
      <c r="N134" s="177">
        <f>Ergebniseingabe!$N$116</f>
      </c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39" t="s">
        <v>16</v>
      </c>
      <c r="AJ134" s="178">
        <f>Ergebniseingabe!$AJ$116</f>
      </c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270"/>
      <c r="BE134" s="463">
        <f>IF(Ergebniseingabe!BE116="","",Ergebniseingabe!BE116)</f>
      </c>
      <c r="BF134" s="464"/>
      <c r="BG134" s="464"/>
      <c r="BH134" s="459">
        <f>IF(Ergebniseingabe!BH116="","",Ergebniseingabe!BH116)</f>
      </c>
      <c r="BI134" s="317"/>
      <c r="BJ134" s="467">
        <f>IF(Ergebniseingabe!BJ116="","",Ergebniseingabe!BJ116)</f>
      </c>
      <c r="BK134" s="468"/>
      <c r="BL134" s="468"/>
      <c r="BM134" s="469"/>
      <c r="BN134" s="15"/>
      <c r="BO134" s="18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2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4"/>
      <c r="EQ134" s="4"/>
      <c r="ER134" s="4"/>
      <c r="ES134" s="4"/>
      <c r="ET134" s="4"/>
      <c r="EU134" s="4"/>
      <c r="EV134" s="4"/>
    </row>
    <row r="135" spans="1:152" s="18" customFormat="1" ht="15.75" thickBot="1">
      <c r="A135" s="63"/>
      <c r="B135" s="63"/>
      <c r="C135" s="1"/>
      <c r="D135" s="240"/>
      <c r="E135" s="161"/>
      <c r="F135" s="159"/>
      <c r="G135" s="160"/>
      <c r="H135" s="160"/>
      <c r="I135" s="161"/>
      <c r="J135" s="261"/>
      <c r="K135" s="261"/>
      <c r="L135" s="261"/>
      <c r="M135" s="262"/>
      <c r="N135" s="271" t="s">
        <v>70</v>
      </c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64"/>
      <c r="AJ135" s="272" t="s">
        <v>71</v>
      </c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315"/>
      <c r="BE135" s="273"/>
      <c r="BF135" s="274"/>
      <c r="BG135" s="274"/>
      <c r="BH135" s="274"/>
      <c r="BI135" s="274"/>
      <c r="BJ135" s="247"/>
      <c r="BK135" s="248"/>
      <c r="BL135" s="248"/>
      <c r="BM135" s="249"/>
      <c r="BN135" s="15"/>
      <c r="BO135" s="1"/>
      <c r="BP135" s="1"/>
      <c r="BQ135" s="1"/>
      <c r="BR135" s="1"/>
      <c r="BS135" s="1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</row>
    <row r="136" spans="1:158" s="24" customFormat="1" ht="16.5" customHeight="1" thickBot="1">
      <c r="A136" s="1"/>
      <c r="B136" s="97"/>
      <c r="C136" s="97"/>
      <c r="D136" s="97"/>
      <c r="E136" s="97"/>
      <c r="F136" s="97"/>
      <c r="G136" s="97"/>
      <c r="H136" s="142"/>
      <c r="I136" s="142"/>
      <c r="J136" s="97"/>
      <c r="K136" s="97"/>
      <c r="L136" s="142"/>
      <c r="M136" s="142"/>
      <c r="N136" s="142"/>
      <c r="O136" s="142"/>
      <c r="P136" s="96"/>
      <c r="Q136" s="96"/>
      <c r="R136" s="96"/>
      <c r="S136" s="96"/>
      <c r="T136" s="96"/>
      <c r="U136" s="96"/>
      <c r="V136" s="96"/>
      <c r="W136" s="96"/>
      <c r="X136" s="97"/>
      <c r="Y136" s="98"/>
      <c r="Z136" s="98"/>
      <c r="AA136" s="98"/>
      <c r="AB136" s="143"/>
      <c r="AC136" s="143"/>
      <c r="AD136" s="143"/>
      <c r="AE136" s="143"/>
      <c r="AF136" s="143"/>
      <c r="AG136" s="140"/>
      <c r="AH136" s="140"/>
      <c r="AI136" s="140"/>
      <c r="AJ136" s="140"/>
      <c r="AK136" s="140"/>
      <c r="AL136" s="140"/>
      <c r="AM136" s="143"/>
      <c r="AN136" s="143"/>
      <c r="AO136" s="143"/>
      <c r="AP136" s="143"/>
      <c r="AQ136" s="143"/>
      <c r="AR136" s="97"/>
      <c r="AS136" s="97"/>
      <c r="AT136" s="97"/>
      <c r="AU136" s="97"/>
      <c r="AV136" s="97"/>
      <c r="AW136" s="97"/>
      <c r="AX136" s="97"/>
      <c r="AY136" s="97"/>
      <c r="AZ136" s="97"/>
      <c r="BA136" s="141"/>
      <c r="BB136" s="141"/>
      <c r="BC136" s="141"/>
      <c r="BD136" s="141"/>
      <c r="BE136" s="141"/>
      <c r="BF136" s="2"/>
      <c r="BG136" s="2"/>
      <c r="BH136" s="2"/>
      <c r="BI136" s="2"/>
      <c r="BJ136" s="2"/>
      <c r="BK136" s="2"/>
      <c r="BL136" s="2"/>
      <c r="BM136" s="2"/>
      <c r="BN136" s="146"/>
      <c r="BO136" s="146"/>
      <c r="BP136" s="146"/>
      <c r="BQ136" s="146"/>
      <c r="BR136" s="146"/>
      <c r="BS136" s="146"/>
      <c r="BT136" s="146"/>
      <c r="BU136" s="146"/>
      <c r="BV136" s="150"/>
      <c r="BW136" s="150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52"/>
      <c r="DT136" s="152"/>
      <c r="DU136" s="152"/>
      <c r="DV136" s="153"/>
      <c r="DW136" s="153"/>
      <c r="DX136" s="153"/>
      <c r="DY136" s="152"/>
      <c r="DZ136" s="152"/>
      <c r="EA136" s="152"/>
      <c r="EB136" s="22"/>
      <c r="EC136" s="22"/>
      <c r="ED136" s="21"/>
      <c r="EE136" s="21"/>
      <c r="EF136" s="21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</row>
    <row r="137" spans="1:152" s="18" customFormat="1" ht="16.5" customHeight="1" thickBot="1">
      <c r="A137" s="1"/>
      <c r="B137" s="1"/>
      <c r="C137" s="1"/>
      <c r="D137" s="241" t="s">
        <v>10</v>
      </c>
      <c r="E137" s="242"/>
      <c r="F137" s="243" t="s">
        <v>47</v>
      </c>
      <c r="G137" s="243"/>
      <c r="H137" s="243"/>
      <c r="I137" s="242"/>
      <c r="J137" s="243" t="s">
        <v>49</v>
      </c>
      <c r="K137" s="243"/>
      <c r="L137" s="243"/>
      <c r="M137" s="242"/>
      <c r="N137" s="264" t="s">
        <v>64</v>
      </c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2"/>
      <c r="BE137" s="264" t="s">
        <v>13</v>
      </c>
      <c r="BF137" s="243"/>
      <c r="BG137" s="243"/>
      <c r="BH137" s="243"/>
      <c r="BI137" s="242"/>
      <c r="BJ137" s="281"/>
      <c r="BK137" s="282"/>
      <c r="BL137" s="282"/>
      <c r="BM137" s="283"/>
      <c r="BN137" s="21"/>
      <c r="BO137" s="22"/>
      <c r="BT137" s="3"/>
      <c r="BU137" s="3"/>
      <c r="BV137" s="3"/>
      <c r="BW137" s="3"/>
      <c r="BX137" s="3"/>
      <c r="BY137" s="3"/>
      <c r="BZ137" s="3"/>
      <c r="CA137" s="32"/>
      <c r="CB137" s="3"/>
      <c r="CC137" s="3"/>
      <c r="CD137" s="3"/>
      <c r="CE137" s="3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22"/>
      <c r="DY137" s="22"/>
      <c r="DZ137" s="22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21"/>
      <c r="EQ137" s="21"/>
      <c r="ER137" s="21"/>
      <c r="ES137" s="21"/>
      <c r="ET137" s="21"/>
      <c r="EU137" s="21"/>
      <c r="EV137" s="21"/>
    </row>
    <row r="138" spans="4:152" s="1" customFormat="1" ht="16.5" customHeight="1">
      <c r="D138" s="239">
        <v>22</v>
      </c>
      <c r="E138" s="158"/>
      <c r="F138" s="156">
        <f>Ergebniseingabe!F120</f>
        <v>1</v>
      </c>
      <c r="G138" s="157"/>
      <c r="H138" s="157"/>
      <c r="I138" s="158"/>
      <c r="J138" s="259">
        <f>Ergebniseingabe!J120</f>
        <v>0.5243055555555556</v>
      </c>
      <c r="K138" s="259"/>
      <c r="L138" s="259"/>
      <c r="M138" s="260"/>
      <c r="N138" s="177">
        <f>Ergebniseingabe!$N$120</f>
      </c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39" t="s">
        <v>16</v>
      </c>
      <c r="AJ138" s="178">
        <f>Ergebniseingabe!AJ120</f>
      </c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270"/>
      <c r="BE138" s="463">
        <f>IF(Ergebniseingabe!BE120="","",Ergebniseingabe!BE120)</f>
      </c>
      <c r="BF138" s="464"/>
      <c r="BG138" s="464"/>
      <c r="BH138" s="459">
        <f>IF(Ergebniseingabe!BH120="","",Ergebniseingabe!BH120)</f>
      </c>
      <c r="BI138" s="317"/>
      <c r="BJ138" s="467">
        <f>IF(Ergebniseingabe!BJ120="","",Ergebniseingabe!BJ120)</f>
      </c>
      <c r="BK138" s="468"/>
      <c r="BL138" s="468"/>
      <c r="BM138" s="469"/>
      <c r="BN138" s="15"/>
      <c r="BO138" s="18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2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4"/>
      <c r="EQ138" s="4"/>
      <c r="ER138" s="4"/>
      <c r="ES138" s="4"/>
      <c r="ET138" s="4"/>
      <c r="EU138" s="4"/>
      <c r="EV138" s="4"/>
    </row>
    <row r="139" spans="1:152" s="18" customFormat="1" ht="15.75" thickBot="1">
      <c r="A139" s="63"/>
      <c r="B139" s="63"/>
      <c r="C139" s="1"/>
      <c r="D139" s="240"/>
      <c r="E139" s="161"/>
      <c r="F139" s="159"/>
      <c r="G139" s="160"/>
      <c r="H139" s="160"/>
      <c r="I139" s="161"/>
      <c r="J139" s="261"/>
      <c r="K139" s="261"/>
      <c r="L139" s="261"/>
      <c r="M139" s="262"/>
      <c r="N139" s="271" t="s">
        <v>72</v>
      </c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64"/>
      <c r="AJ139" s="272" t="s">
        <v>83</v>
      </c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315"/>
      <c r="BE139" s="273"/>
      <c r="BF139" s="274"/>
      <c r="BG139" s="274"/>
      <c r="BH139" s="274"/>
      <c r="BI139" s="274"/>
      <c r="BJ139" s="247"/>
      <c r="BK139" s="248"/>
      <c r="BL139" s="248"/>
      <c r="BM139" s="249"/>
      <c r="BN139" s="15"/>
      <c r="BO139" s="1"/>
      <c r="BP139" s="1"/>
      <c r="BQ139" s="1"/>
      <c r="BR139" s="1"/>
      <c r="BS139" s="1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</row>
    <row r="140" spans="1:158" s="24" customFormat="1" ht="16.5" customHeight="1" thickBot="1">
      <c r="A140" s="1"/>
      <c r="B140" s="97"/>
      <c r="C140" s="97"/>
      <c r="D140" s="97"/>
      <c r="E140" s="97"/>
      <c r="F140" s="97"/>
      <c r="G140" s="97"/>
      <c r="H140" s="142"/>
      <c r="I140" s="142"/>
      <c r="J140" s="97"/>
      <c r="K140" s="97"/>
      <c r="L140" s="142"/>
      <c r="M140" s="142"/>
      <c r="N140" s="142"/>
      <c r="O140" s="142"/>
      <c r="P140" s="96"/>
      <c r="Q140" s="96"/>
      <c r="R140" s="96"/>
      <c r="S140" s="96"/>
      <c r="T140" s="96"/>
      <c r="U140" s="96"/>
      <c r="V140" s="96"/>
      <c r="W140" s="96"/>
      <c r="X140" s="97"/>
      <c r="Y140" s="98"/>
      <c r="Z140" s="98"/>
      <c r="AA140" s="98"/>
      <c r="AB140" s="143"/>
      <c r="AC140" s="143"/>
      <c r="AD140" s="143"/>
      <c r="AE140" s="143"/>
      <c r="AF140" s="143"/>
      <c r="AG140" s="140"/>
      <c r="AH140" s="140"/>
      <c r="AI140" s="140"/>
      <c r="AJ140" s="140"/>
      <c r="AK140" s="140"/>
      <c r="AL140" s="140"/>
      <c r="AM140" s="143"/>
      <c r="AN140" s="143"/>
      <c r="AO140" s="143"/>
      <c r="AP140" s="143"/>
      <c r="AQ140" s="143"/>
      <c r="AR140" s="97"/>
      <c r="AS140" s="97"/>
      <c r="AT140" s="97"/>
      <c r="AU140" s="97"/>
      <c r="AV140" s="97"/>
      <c r="AW140" s="97"/>
      <c r="AX140" s="97"/>
      <c r="AY140" s="97"/>
      <c r="AZ140" s="97"/>
      <c r="BA140" s="141"/>
      <c r="BB140" s="141"/>
      <c r="BC140" s="141"/>
      <c r="BD140" s="141"/>
      <c r="BE140" s="141"/>
      <c r="BF140" s="2"/>
      <c r="BG140" s="2"/>
      <c r="BH140" s="2"/>
      <c r="BI140" s="2"/>
      <c r="BJ140" s="2"/>
      <c r="BK140" s="2"/>
      <c r="BL140" s="2"/>
      <c r="BM140" s="2"/>
      <c r="BN140" s="146"/>
      <c r="BO140" s="146"/>
      <c r="BP140" s="146"/>
      <c r="BQ140" s="146"/>
      <c r="BR140" s="146"/>
      <c r="BS140" s="146"/>
      <c r="BT140" s="146"/>
      <c r="BU140" s="146"/>
      <c r="BV140" s="150"/>
      <c r="BW140" s="150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52"/>
      <c r="DT140" s="152"/>
      <c r="DU140" s="152"/>
      <c r="DV140" s="153"/>
      <c r="DW140" s="153"/>
      <c r="DX140" s="153"/>
      <c r="DY140" s="152"/>
      <c r="DZ140" s="152"/>
      <c r="EA140" s="152"/>
      <c r="EB140" s="22"/>
      <c r="EC140" s="22"/>
      <c r="ED140" s="21"/>
      <c r="EE140" s="21"/>
      <c r="EF140" s="21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</row>
    <row r="141" spans="1:152" s="18" customFormat="1" ht="16.5" customHeight="1" thickBot="1">
      <c r="A141" s="1"/>
      <c r="B141" s="1"/>
      <c r="C141" s="1"/>
      <c r="D141" s="241" t="s">
        <v>10</v>
      </c>
      <c r="E141" s="242"/>
      <c r="F141" s="243" t="s">
        <v>47</v>
      </c>
      <c r="G141" s="243"/>
      <c r="H141" s="243"/>
      <c r="I141" s="242"/>
      <c r="J141" s="243" t="s">
        <v>49</v>
      </c>
      <c r="K141" s="243"/>
      <c r="L141" s="243"/>
      <c r="M141" s="242"/>
      <c r="N141" s="264" t="s">
        <v>65</v>
      </c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  <c r="AU141" s="243"/>
      <c r="AV141" s="243"/>
      <c r="AW141" s="243"/>
      <c r="AX141" s="243"/>
      <c r="AY141" s="243"/>
      <c r="AZ141" s="243"/>
      <c r="BA141" s="243"/>
      <c r="BB141" s="243"/>
      <c r="BC141" s="243"/>
      <c r="BD141" s="242"/>
      <c r="BE141" s="264" t="s">
        <v>13</v>
      </c>
      <c r="BF141" s="243"/>
      <c r="BG141" s="243"/>
      <c r="BH141" s="243"/>
      <c r="BI141" s="242"/>
      <c r="BJ141" s="281"/>
      <c r="BK141" s="282"/>
      <c r="BL141" s="282"/>
      <c r="BM141" s="283"/>
      <c r="BN141" s="21"/>
      <c r="BO141" s="22"/>
      <c r="BT141" s="3"/>
      <c r="BU141" s="3"/>
      <c r="BV141" s="3"/>
      <c r="BW141" s="3"/>
      <c r="BX141" s="3"/>
      <c r="BY141" s="3"/>
      <c r="BZ141" s="3"/>
      <c r="CA141" s="32"/>
      <c r="CB141" s="3"/>
      <c r="CC141" s="3"/>
      <c r="CD141" s="3"/>
      <c r="CE141" s="3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22"/>
      <c r="DY141" s="22"/>
      <c r="DZ141" s="22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21"/>
      <c r="EQ141" s="21"/>
      <c r="ER141" s="21"/>
      <c r="ES141" s="21"/>
      <c r="ET141" s="21"/>
      <c r="EU141" s="21"/>
      <c r="EV141" s="21"/>
    </row>
    <row r="142" spans="4:152" s="1" customFormat="1" ht="16.5" customHeight="1">
      <c r="D142" s="239">
        <v>23</v>
      </c>
      <c r="E142" s="158"/>
      <c r="F142" s="156">
        <f>Ergebniseingabe!F124</f>
        <v>2</v>
      </c>
      <c r="G142" s="157"/>
      <c r="H142" s="157"/>
      <c r="I142" s="158"/>
      <c r="J142" s="259">
        <f>Ergebniseingabe!J124</f>
        <v>0.5243055555555556</v>
      </c>
      <c r="K142" s="259"/>
      <c r="L142" s="259"/>
      <c r="M142" s="260"/>
      <c r="N142" s="177">
        <f>Ergebniseingabe!$N$124</f>
      </c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39" t="s">
        <v>16</v>
      </c>
      <c r="AJ142" s="178">
        <f>Ergebniseingabe!$AJ$124</f>
      </c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270"/>
      <c r="BE142" s="463">
        <f>IF(Ergebniseingabe!BE124="","",Ergebniseingabe!BE124)</f>
      </c>
      <c r="BF142" s="464"/>
      <c r="BG142" s="464"/>
      <c r="BH142" s="459">
        <f>IF(Ergebniseingabe!BH124="","",Ergebniseingabe!BH124)</f>
      </c>
      <c r="BI142" s="317"/>
      <c r="BJ142" s="467">
        <f>IF(Ergebniseingabe!BJ124="","",Ergebniseingabe!BJ124)</f>
      </c>
      <c r="BK142" s="468"/>
      <c r="BL142" s="468"/>
      <c r="BM142" s="469"/>
      <c r="BN142" s="15"/>
      <c r="BO142" s="18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2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4"/>
      <c r="EQ142" s="4"/>
      <c r="ER142" s="4"/>
      <c r="ES142" s="4"/>
      <c r="ET142" s="4"/>
      <c r="EU142" s="4"/>
      <c r="EV142" s="4"/>
    </row>
    <row r="143" spans="1:152" s="18" customFormat="1" ht="15.75" thickBot="1">
      <c r="A143" s="63"/>
      <c r="B143" s="63"/>
      <c r="C143" s="1"/>
      <c r="D143" s="240"/>
      <c r="E143" s="161"/>
      <c r="F143" s="159"/>
      <c r="G143" s="160"/>
      <c r="H143" s="160"/>
      <c r="I143" s="161"/>
      <c r="J143" s="261"/>
      <c r="K143" s="261"/>
      <c r="L143" s="261"/>
      <c r="M143" s="262"/>
      <c r="N143" s="271" t="s">
        <v>73</v>
      </c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64"/>
      <c r="AJ143" s="272" t="s">
        <v>85</v>
      </c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315"/>
      <c r="BE143" s="273"/>
      <c r="BF143" s="274"/>
      <c r="BG143" s="274"/>
      <c r="BH143" s="274"/>
      <c r="BI143" s="274"/>
      <c r="BJ143" s="247"/>
      <c r="BK143" s="248"/>
      <c r="BL143" s="248"/>
      <c r="BM143" s="249"/>
      <c r="BN143" s="15"/>
      <c r="BO143" s="1"/>
      <c r="BP143" s="1"/>
      <c r="BQ143" s="1"/>
      <c r="BR143" s="1"/>
      <c r="BS143" s="1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</row>
    <row r="144" spans="1:158" s="24" customFormat="1" ht="16.5" customHeight="1">
      <c r="A144" s="1"/>
      <c r="B144" s="97"/>
      <c r="C144" s="97"/>
      <c r="D144" s="97"/>
      <c r="E144" s="97"/>
      <c r="F144" s="97"/>
      <c r="G144" s="97"/>
      <c r="H144" s="142"/>
      <c r="I144" s="142"/>
      <c r="J144" s="97"/>
      <c r="K144" s="97"/>
      <c r="L144" s="142"/>
      <c r="M144" s="142"/>
      <c r="N144" s="142"/>
      <c r="O144" s="142"/>
      <c r="P144" s="96"/>
      <c r="Q144" s="96"/>
      <c r="R144" s="96"/>
      <c r="S144" s="96"/>
      <c r="T144" s="96"/>
      <c r="U144" s="96"/>
      <c r="V144" s="96"/>
      <c r="W144" s="96"/>
      <c r="X144" s="97"/>
      <c r="Y144" s="98"/>
      <c r="Z144" s="98"/>
      <c r="AA144" s="98"/>
      <c r="AB144" s="143"/>
      <c r="AC144" s="143"/>
      <c r="AD144" s="143"/>
      <c r="AE144" s="143"/>
      <c r="AF144" s="143"/>
      <c r="AG144" s="140"/>
      <c r="AH144" s="140"/>
      <c r="AI144" s="140"/>
      <c r="AJ144" s="140"/>
      <c r="AK144" s="140"/>
      <c r="AL144" s="140"/>
      <c r="AM144" s="143"/>
      <c r="AN144" s="143"/>
      <c r="AO144" s="143"/>
      <c r="AP144" s="143"/>
      <c r="AQ144" s="143"/>
      <c r="AR144" s="97"/>
      <c r="AS144" s="97"/>
      <c r="AT144" s="97"/>
      <c r="AU144" s="97"/>
      <c r="AV144" s="97"/>
      <c r="AW144" s="97"/>
      <c r="AX144" s="97"/>
      <c r="AY144" s="97"/>
      <c r="AZ144" s="97"/>
      <c r="BA144" s="141"/>
      <c r="BB144" s="141"/>
      <c r="BC144" s="141"/>
      <c r="BD144" s="141"/>
      <c r="BE144" s="141"/>
      <c r="BF144" s="2"/>
      <c r="BG144" s="2"/>
      <c r="BH144" s="2"/>
      <c r="BI144" s="2"/>
      <c r="BJ144" s="2"/>
      <c r="BK144" s="2"/>
      <c r="BL144" s="2"/>
      <c r="BM144" s="2"/>
      <c r="BN144" s="146"/>
      <c r="BO144" s="146"/>
      <c r="BP144" s="146"/>
      <c r="BQ144" s="146"/>
      <c r="BR144" s="146"/>
      <c r="BS144" s="146"/>
      <c r="BT144" s="146"/>
      <c r="BU144" s="146"/>
      <c r="BV144" s="150"/>
      <c r="BW144" s="150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52"/>
      <c r="DT144" s="152"/>
      <c r="DU144" s="152"/>
      <c r="DV144" s="153"/>
      <c r="DW144" s="153"/>
      <c r="DX144" s="153"/>
      <c r="DY144" s="152"/>
      <c r="DZ144" s="152"/>
      <c r="EA144" s="152"/>
      <c r="EB144" s="22"/>
      <c r="EC144" s="22"/>
      <c r="ED144" s="21"/>
      <c r="EE144" s="21"/>
      <c r="EF144" s="21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</row>
    <row r="145" spans="1:152" s="18" customFormat="1" ht="16.5" customHeight="1" thickBot="1">
      <c r="A145" s="1"/>
      <c r="B145" s="97"/>
      <c r="C145" s="97"/>
      <c r="D145" s="97"/>
      <c r="E145" s="97"/>
      <c r="F145" s="97"/>
      <c r="G145" s="97"/>
      <c r="H145" s="142"/>
      <c r="I145" s="142"/>
      <c r="J145" s="97"/>
      <c r="K145" s="97"/>
      <c r="L145" s="142"/>
      <c r="M145" s="142"/>
      <c r="N145" s="142"/>
      <c r="O145" s="142"/>
      <c r="P145" s="96"/>
      <c r="Q145" s="96"/>
      <c r="R145" s="96"/>
      <c r="S145" s="96"/>
      <c r="T145" s="96"/>
      <c r="U145" s="96"/>
      <c r="V145" s="96"/>
      <c r="W145" s="96"/>
      <c r="X145" s="97"/>
      <c r="Y145" s="98"/>
      <c r="Z145" s="98"/>
      <c r="AA145" s="98"/>
      <c r="AB145" s="143"/>
      <c r="AC145" s="143"/>
      <c r="AD145" s="143"/>
      <c r="AE145" s="143"/>
      <c r="AF145" s="143"/>
      <c r="AG145" s="140"/>
      <c r="AH145" s="140"/>
      <c r="AI145" s="140"/>
      <c r="AJ145" s="140"/>
      <c r="AK145" s="140"/>
      <c r="AL145" s="140"/>
      <c r="AM145" s="143"/>
      <c r="AN145" s="143"/>
      <c r="AO145" s="143"/>
      <c r="AP145" s="143"/>
      <c r="AQ145" s="143"/>
      <c r="AR145" s="97"/>
      <c r="AS145" s="97"/>
      <c r="AT145" s="97"/>
      <c r="AU145" s="97"/>
      <c r="AV145" s="97"/>
      <c r="AW145" s="97"/>
      <c r="AX145" s="97"/>
      <c r="AY145" s="97"/>
      <c r="AZ145" s="97"/>
      <c r="BA145" s="141"/>
      <c r="BB145" s="141"/>
      <c r="BC145" s="141"/>
      <c r="BD145" s="141"/>
      <c r="BE145" s="141"/>
      <c r="BF145" s="2"/>
      <c r="BG145" s="2"/>
      <c r="BH145" s="2"/>
      <c r="BI145" s="2"/>
      <c r="BJ145" s="2"/>
      <c r="BK145" s="2"/>
      <c r="BL145" s="2"/>
      <c r="BM145" s="2"/>
      <c r="BN145" s="146"/>
      <c r="BO145" s="146"/>
      <c r="BP145" s="146"/>
      <c r="BT145" s="3"/>
      <c r="BU145" s="3"/>
      <c r="BV145" s="3"/>
      <c r="BW145" s="3"/>
      <c r="BX145" s="3"/>
      <c r="BY145" s="3"/>
      <c r="BZ145" s="3"/>
      <c r="CA145" s="32"/>
      <c r="CB145" s="3"/>
      <c r="CC145" s="3"/>
      <c r="CD145" s="3"/>
      <c r="CE145" s="3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22"/>
      <c r="DY145" s="22"/>
      <c r="DZ145" s="22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21"/>
      <c r="EQ145" s="21"/>
      <c r="ER145" s="21"/>
      <c r="ES145" s="21"/>
      <c r="ET145" s="21"/>
      <c r="EU145" s="21"/>
      <c r="EV145" s="21"/>
    </row>
    <row r="146" spans="4:152" s="1" customFormat="1" ht="16.5" customHeight="1" thickBot="1">
      <c r="D146" s="310" t="s">
        <v>10</v>
      </c>
      <c r="E146" s="277"/>
      <c r="F146" s="276" t="s">
        <v>47</v>
      </c>
      <c r="G146" s="276"/>
      <c r="H146" s="276"/>
      <c r="I146" s="277"/>
      <c r="J146" s="276" t="s">
        <v>49</v>
      </c>
      <c r="K146" s="276"/>
      <c r="L146" s="276"/>
      <c r="M146" s="277"/>
      <c r="N146" s="275" t="s">
        <v>66</v>
      </c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  <c r="AX146" s="276"/>
      <c r="AY146" s="276"/>
      <c r="AZ146" s="276"/>
      <c r="BA146" s="276"/>
      <c r="BB146" s="276"/>
      <c r="BC146" s="276"/>
      <c r="BD146" s="277"/>
      <c r="BE146" s="275" t="s">
        <v>13</v>
      </c>
      <c r="BF146" s="276"/>
      <c r="BG146" s="276"/>
      <c r="BH146" s="276"/>
      <c r="BI146" s="277"/>
      <c r="BJ146" s="278"/>
      <c r="BK146" s="279"/>
      <c r="BL146" s="279"/>
      <c r="BM146" s="280"/>
      <c r="BN146" s="21"/>
      <c r="BO146" s="22"/>
      <c r="BP146" s="18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2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4"/>
      <c r="EQ146" s="4"/>
      <c r="ER146" s="4"/>
      <c r="ES146" s="4"/>
      <c r="ET146" s="4"/>
      <c r="EU146" s="4"/>
      <c r="EV146" s="4"/>
    </row>
    <row r="147" spans="1:152" s="18" customFormat="1" ht="15">
      <c r="A147" s="1"/>
      <c r="B147" s="1"/>
      <c r="C147" s="1"/>
      <c r="D147" s="239">
        <v>24</v>
      </c>
      <c r="E147" s="158"/>
      <c r="F147" s="156">
        <f>Ergebniseingabe!F129</f>
        <v>1</v>
      </c>
      <c r="G147" s="157"/>
      <c r="H147" s="157"/>
      <c r="I147" s="158"/>
      <c r="J147" s="259">
        <f>Ergebniseingabe!J129</f>
        <v>0.545138888888889</v>
      </c>
      <c r="K147" s="259"/>
      <c r="L147" s="259"/>
      <c r="M147" s="260"/>
      <c r="N147" s="177" t="str">
        <f>Ergebniseingabe!$N$129</f>
        <v> </v>
      </c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39" t="s">
        <v>16</v>
      </c>
      <c r="AJ147" s="178" t="str">
        <f>Ergebniseingabe!$AJ$129</f>
        <v> </v>
      </c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270"/>
      <c r="BE147" s="463">
        <f>IF(Ergebniseingabe!BE129="","",Ergebniseingabe!BE129)</f>
      </c>
      <c r="BF147" s="464"/>
      <c r="BG147" s="464"/>
      <c r="BH147" s="459">
        <f>IF(Ergebniseingabe!BH129="","",Ergebniseingabe!BH129)</f>
      </c>
      <c r="BI147" s="317"/>
      <c r="BJ147" s="467">
        <f>IF(Ergebniseingabe!BJ129="","",Ergebniseingabe!BJ129)</f>
      </c>
      <c r="BK147" s="468"/>
      <c r="BL147" s="468"/>
      <c r="BM147" s="469"/>
      <c r="BN147" s="15"/>
      <c r="BP147" s="1"/>
      <c r="BQ147" s="1"/>
      <c r="BR147" s="1"/>
      <c r="BS147" s="1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</row>
    <row r="148" spans="1:158" s="24" customFormat="1" ht="16.5" customHeight="1" thickBot="1">
      <c r="A148" s="63"/>
      <c r="B148" s="63"/>
      <c r="C148" s="1"/>
      <c r="D148" s="240"/>
      <c r="E148" s="161"/>
      <c r="F148" s="159"/>
      <c r="G148" s="160"/>
      <c r="H148" s="160"/>
      <c r="I148" s="161"/>
      <c r="J148" s="261"/>
      <c r="K148" s="261"/>
      <c r="L148" s="261"/>
      <c r="M148" s="262"/>
      <c r="N148" s="271" t="s">
        <v>74</v>
      </c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64"/>
      <c r="AJ148" s="272" t="s">
        <v>75</v>
      </c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315"/>
      <c r="BE148" s="273"/>
      <c r="BF148" s="274"/>
      <c r="BG148" s="274"/>
      <c r="BH148" s="274"/>
      <c r="BI148" s="274"/>
      <c r="BJ148" s="247"/>
      <c r="BK148" s="248"/>
      <c r="BL148" s="248"/>
      <c r="BM148" s="249"/>
      <c r="BN148" s="15"/>
      <c r="BO148" s="1"/>
      <c r="BP148" s="1"/>
      <c r="BQ148" s="146"/>
      <c r="BR148" s="146"/>
      <c r="BS148" s="146"/>
      <c r="BT148" s="146"/>
      <c r="BU148" s="146"/>
      <c r="BV148" s="150"/>
      <c r="BW148" s="150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52"/>
      <c r="DT148" s="152"/>
      <c r="DU148" s="152"/>
      <c r="DV148" s="153"/>
      <c r="DW148" s="153"/>
      <c r="DX148" s="153"/>
      <c r="DY148" s="152"/>
      <c r="DZ148" s="152"/>
      <c r="EA148" s="152"/>
      <c r="EB148" s="22"/>
      <c r="EC148" s="22"/>
      <c r="ED148" s="21"/>
      <c r="EE148" s="21"/>
      <c r="EF148" s="21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</row>
    <row r="149" spans="1:158" s="24" customFormat="1" ht="16.5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4"/>
      <c r="BK149" s="14"/>
      <c r="BL149" s="14"/>
      <c r="BM149" s="14"/>
      <c r="BN149" s="15"/>
      <c r="BO149" s="1"/>
      <c r="BP149" s="1"/>
      <c r="BQ149" s="146"/>
      <c r="BR149" s="146"/>
      <c r="BS149" s="146"/>
      <c r="BT149" s="146"/>
      <c r="BU149" s="146"/>
      <c r="BV149" s="150"/>
      <c r="BW149" s="150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52"/>
      <c r="DT149" s="152"/>
      <c r="DU149" s="152"/>
      <c r="DV149" s="153"/>
      <c r="DW149" s="153"/>
      <c r="DX149" s="153"/>
      <c r="DY149" s="152"/>
      <c r="DZ149" s="152"/>
      <c r="EA149" s="152"/>
      <c r="EB149" s="22"/>
      <c r="EC149" s="22"/>
      <c r="ED149" s="21"/>
      <c r="EE149" s="21"/>
      <c r="EF149" s="21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</row>
    <row r="150" spans="1:152" s="18" customFormat="1" ht="16.5" customHeight="1" thickBot="1">
      <c r="A150" s="1"/>
      <c r="B150" s="1"/>
      <c r="C150" s="1"/>
      <c r="D150" s="310" t="s">
        <v>10</v>
      </c>
      <c r="E150" s="277"/>
      <c r="F150" s="276" t="s">
        <v>47</v>
      </c>
      <c r="G150" s="276"/>
      <c r="H150" s="276"/>
      <c r="I150" s="277"/>
      <c r="J150" s="276" t="s">
        <v>49</v>
      </c>
      <c r="K150" s="276"/>
      <c r="L150" s="276"/>
      <c r="M150" s="277"/>
      <c r="N150" s="275" t="s">
        <v>67</v>
      </c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7"/>
      <c r="BE150" s="275" t="s">
        <v>13</v>
      </c>
      <c r="BF150" s="276"/>
      <c r="BG150" s="276"/>
      <c r="BH150" s="276"/>
      <c r="BI150" s="277"/>
      <c r="BJ150" s="278"/>
      <c r="BK150" s="279"/>
      <c r="BL150" s="279"/>
      <c r="BM150" s="280"/>
      <c r="BN150" s="15"/>
      <c r="BO150" s="1"/>
      <c r="BP150" s="1"/>
      <c r="BT150" s="3"/>
      <c r="BU150" s="3"/>
      <c r="BV150" s="3"/>
      <c r="BW150" s="3"/>
      <c r="BX150" s="3"/>
      <c r="BY150" s="3"/>
      <c r="BZ150" s="3"/>
      <c r="CA150" s="32"/>
      <c r="CB150" s="3"/>
      <c r="CC150" s="3"/>
      <c r="CD150" s="3"/>
      <c r="CE150" s="3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22"/>
      <c r="DY150" s="22"/>
      <c r="DZ150" s="22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21"/>
      <c r="EQ150" s="21"/>
      <c r="ER150" s="21"/>
      <c r="ES150" s="21"/>
      <c r="ET150" s="21"/>
      <c r="EU150" s="21"/>
      <c r="EV150" s="21"/>
    </row>
    <row r="151" spans="4:152" s="1" customFormat="1" ht="16.5" customHeight="1">
      <c r="D151" s="239">
        <v>25</v>
      </c>
      <c r="E151" s="158"/>
      <c r="F151" s="156">
        <f>Ergebniseingabe!F133</f>
        <v>2</v>
      </c>
      <c r="G151" s="157"/>
      <c r="H151" s="157"/>
      <c r="I151" s="158"/>
      <c r="J151" s="259">
        <f>Ergebniseingabe!J133</f>
        <v>0.545138888888889</v>
      </c>
      <c r="K151" s="259"/>
      <c r="L151" s="259"/>
      <c r="M151" s="260"/>
      <c r="N151" s="177" t="str">
        <f>Ergebniseingabe!$N$133</f>
        <v> </v>
      </c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39" t="s">
        <v>16</v>
      </c>
      <c r="AJ151" s="178" t="str">
        <f>Ergebniseingabe!$AJ$133</f>
        <v> </v>
      </c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270"/>
      <c r="BE151" s="463">
        <f>IF(Ergebniseingabe!BE133="","",Ergebniseingabe!BE133)</f>
      </c>
      <c r="BF151" s="464"/>
      <c r="BG151" s="464"/>
      <c r="BH151" s="459">
        <f>IF(Ergebniseingabe!BH133="","",Ergebniseingabe!BH133)</f>
      </c>
      <c r="BI151" s="317"/>
      <c r="BJ151" s="467">
        <f>IF(Ergebniseingabe!BJ133="","",Ergebniseingabe!BJ133)</f>
      </c>
      <c r="BK151" s="468"/>
      <c r="BL151" s="468"/>
      <c r="BM151" s="469"/>
      <c r="BN151" s="15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2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4"/>
      <c r="EQ151" s="4"/>
      <c r="ER151" s="4"/>
      <c r="ES151" s="4"/>
      <c r="ET151" s="4"/>
      <c r="EU151" s="4"/>
      <c r="EV151" s="4"/>
    </row>
    <row r="152" spans="1:152" s="18" customFormat="1" ht="15.75" thickBot="1">
      <c r="A152" s="63"/>
      <c r="B152" s="63"/>
      <c r="C152" s="1"/>
      <c r="D152" s="240"/>
      <c r="E152" s="161"/>
      <c r="F152" s="159"/>
      <c r="G152" s="160"/>
      <c r="H152" s="160"/>
      <c r="I152" s="161"/>
      <c r="J152" s="261"/>
      <c r="K152" s="261"/>
      <c r="L152" s="261"/>
      <c r="M152" s="262"/>
      <c r="N152" s="271" t="s">
        <v>76</v>
      </c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64"/>
      <c r="AJ152" s="272" t="s">
        <v>77</v>
      </c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2"/>
      <c r="AZ152" s="272"/>
      <c r="BA152" s="272"/>
      <c r="BB152" s="272"/>
      <c r="BC152" s="272"/>
      <c r="BD152" s="315"/>
      <c r="BE152" s="273"/>
      <c r="BF152" s="274"/>
      <c r="BG152" s="274"/>
      <c r="BH152" s="274"/>
      <c r="BI152" s="274"/>
      <c r="BJ152" s="247"/>
      <c r="BK152" s="248"/>
      <c r="BL152" s="248"/>
      <c r="BM152" s="249"/>
      <c r="BN152" s="15"/>
      <c r="BO152" s="1"/>
      <c r="BP152" s="1"/>
      <c r="BQ152" s="1"/>
      <c r="BR152" s="1"/>
      <c r="BS152" s="1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</row>
    <row r="153" spans="1:152" s="18" customFormat="1" ht="15">
      <c r="A153" s="1"/>
      <c r="B153" s="97"/>
      <c r="C153" s="97"/>
      <c r="D153" s="97"/>
      <c r="E153" s="97"/>
      <c r="F153" s="97"/>
      <c r="G153" s="97"/>
      <c r="H153" s="142"/>
      <c r="I153" s="142"/>
      <c r="J153" s="97"/>
      <c r="K153" s="97"/>
      <c r="L153" s="142"/>
      <c r="M153" s="142"/>
      <c r="N153" s="142"/>
      <c r="O153" s="142"/>
      <c r="P153" s="96"/>
      <c r="Q153" s="96"/>
      <c r="R153" s="96"/>
      <c r="S153" s="96"/>
      <c r="T153" s="96"/>
      <c r="U153" s="96"/>
      <c r="V153" s="96"/>
      <c r="W153" s="96"/>
      <c r="X153" s="97"/>
      <c r="Y153" s="98"/>
      <c r="Z153" s="98"/>
      <c r="AA153" s="98"/>
      <c r="AB153" s="143"/>
      <c r="AC153" s="143"/>
      <c r="AD153" s="143"/>
      <c r="AE153" s="143"/>
      <c r="AF153" s="143"/>
      <c r="AG153" s="140"/>
      <c r="AH153" s="140"/>
      <c r="AI153" s="140"/>
      <c r="AJ153" s="140"/>
      <c r="AK153" s="140"/>
      <c r="AL153" s="140"/>
      <c r="AM153" s="143"/>
      <c r="AN153" s="143"/>
      <c r="AO153" s="143"/>
      <c r="AP153" s="143"/>
      <c r="AQ153" s="143"/>
      <c r="AR153" s="97"/>
      <c r="AS153" s="97"/>
      <c r="AT153" s="97"/>
      <c r="AU153" s="97"/>
      <c r="AV153" s="97"/>
      <c r="AW153" s="97"/>
      <c r="AX153" s="97"/>
      <c r="AY153" s="97"/>
      <c r="AZ153" s="97"/>
      <c r="BA153" s="141"/>
      <c r="BB153" s="141"/>
      <c r="BC153" s="141"/>
      <c r="BD153" s="141"/>
      <c r="BE153" s="141"/>
      <c r="BF153" s="2"/>
      <c r="BG153" s="2"/>
      <c r="BH153" s="2"/>
      <c r="BI153" s="2"/>
      <c r="BJ153" s="2"/>
      <c r="BK153" s="2"/>
      <c r="BL153" s="2"/>
      <c r="BM153" s="2"/>
      <c r="BN153" s="146"/>
      <c r="BO153" s="146"/>
      <c r="BP153" s="146"/>
      <c r="BQ153" s="1"/>
      <c r="BR153" s="1"/>
      <c r="BS153" s="1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4"/>
      <c r="DY153" s="4"/>
      <c r="DZ153" s="4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</row>
    <row r="154" spans="1:159" s="18" customFormat="1" ht="16.5" customHeight="1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4"/>
      <c r="BK154" s="14"/>
      <c r="BL154" s="14"/>
      <c r="BM154" s="14"/>
      <c r="BN154" s="15"/>
      <c r="BO154" s="1"/>
      <c r="BP154" s="1"/>
      <c r="BQ154" s="1"/>
      <c r="BR154" s="1"/>
      <c r="BS154" s="1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3"/>
      <c r="DY154" s="3"/>
      <c r="DZ154" s="3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22"/>
      <c r="EX154" s="22"/>
      <c r="EY154" s="22"/>
      <c r="EZ154" s="22"/>
      <c r="FA154" s="22"/>
      <c r="FB154" s="22"/>
      <c r="FC154" s="22"/>
    </row>
    <row r="155" spans="4:159" s="1" customFormat="1" ht="15.75" thickBot="1">
      <c r="D155" s="220" t="s">
        <v>10</v>
      </c>
      <c r="E155" s="163"/>
      <c r="F155" s="162" t="s">
        <v>47</v>
      </c>
      <c r="G155" s="162"/>
      <c r="H155" s="162"/>
      <c r="I155" s="163"/>
      <c r="J155" s="162" t="s">
        <v>49</v>
      </c>
      <c r="K155" s="162"/>
      <c r="L155" s="162"/>
      <c r="M155" s="163"/>
      <c r="N155" s="414" t="str">
        <f>Ergebniseingabe!$N$137</f>
        <v>Spiel um Platz 3</v>
      </c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3"/>
      <c r="BE155" s="414" t="s">
        <v>13</v>
      </c>
      <c r="BF155" s="162"/>
      <c r="BG155" s="162"/>
      <c r="BH155" s="162"/>
      <c r="BI155" s="163"/>
      <c r="BJ155" s="256"/>
      <c r="BK155" s="257"/>
      <c r="BL155" s="257"/>
      <c r="BM155" s="258"/>
      <c r="BN155" s="15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4"/>
      <c r="EX155" s="4"/>
      <c r="EY155" s="4"/>
      <c r="EZ155" s="4"/>
      <c r="FA155" s="4"/>
      <c r="FB155" s="4"/>
      <c r="FC155" s="4"/>
    </row>
    <row r="156" spans="4:159" s="1" customFormat="1" ht="15">
      <c r="D156" s="239">
        <v>26</v>
      </c>
      <c r="E156" s="158"/>
      <c r="F156" s="156">
        <f>Ergebniseingabe!F138</f>
        <v>1</v>
      </c>
      <c r="G156" s="157"/>
      <c r="H156" s="157"/>
      <c r="I156" s="158"/>
      <c r="J156" s="259">
        <f>Ergebniseingabe!J138</f>
        <v>0.5659722222222222</v>
      </c>
      <c r="K156" s="259"/>
      <c r="L156" s="259"/>
      <c r="M156" s="260"/>
      <c r="N156" s="177" t="str">
        <f>Ergebniseingabe!$N$138</f>
        <v> </v>
      </c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39" t="s">
        <v>16</v>
      </c>
      <c r="AJ156" s="178" t="str">
        <f>Ergebniseingabe!$AJ$138</f>
        <v> </v>
      </c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270"/>
      <c r="BE156" s="463">
        <f>IF(Ergebniseingabe!BE138="","",Ergebniseingabe!BE138)</f>
      </c>
      <c r="BF156" s="464"/>
      <c r="BG156" s="464"/>
      <c r="BH156" s="459">
        <f>IF(Ergebniseingabe!BH138="","",Ergebniseingabe!BH138)</f>
      </c>
      <c r="BI156" s="317"/>
      <c r="BJ156" s="467">
        <f>IF(Ergebniseingabe!BJ138="","",Ergebniseingabe!BJ138)</f>
      </c>
      <c r="BK156" s="468"/>
      <c r="BL156" s="468"/>
      <c r="BM156" s="469"/>
      <c r="BN156" s="15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3"/>
      <c r="EX156" s="3"/>
      <c r="EY156" s="3"/>
      <c r="EZ156" s="3"/>
      <c r="FA156" s="3"/>
      <c r="FB156" s="3"/>
      <c r="FC156" s="3"/>
    </row>
    <row r="157" spans="1:158" s="24" customFormat="1" ht="16.5" customHeight="1" thickBot="1">
      <c r="A157" s="63"/>
      <c r="B157" s="63"/>
      <c r="C157" s="1"/>
      <c r="D157" s="240"/>
      <c r="E157" s="161"/>
      <c r="F157" s="159"/>
      <c r="G157" s="160"/>
      <c r="H157" s="160"/>
      <c r="I157" s="161"/>
      <c r="J157" s="261"/>
      <c r="K157" s="261"/>
      <c r="L157" s="261"/>
      <c r="M157" s="262"/>
      <c r="N157" s="271" t="s">
        <v>80</v>
      </c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64"/>
      <c r="AJ157" s="272" t="s">
        <v>81</v>
      </c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315"/>
      <c r="BE157" s="273"/>
      <c r="BF157" s="274"/>
      <c r="BG157" s="274"/>
      <c r="BH157" s="274"/>
      <c r="BI157" s="274"/>
      <c r="BJ157" s="247"/>
      <c r="BK157" s="248"/>
      <c r="BL157" s="248"/>
      <c r="BM157" s="249"/>
      <c r="BN157" s="15"/>
      <c r="BO157" s="1"/>
      <c r="BP157" s="1"/>
      <c r="BQ157" s="146"/>
      <c r="BR157" s="146"/>
      <c r="BS157" s="146"/>
      <c r="BT157" s="146"/>
      <c r="BU157" s="146"/>
      <c r="BV157" s="150"/>
      <c r="BW157" s="150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52"/>
      <c r="DT157" s="152"/>
      <c r="DU157" s="152"/>
      <c r="DV157" s="153"/>
      <c r="DW157" s="153"/>
      <c r="DX157" s="153"/>
      <c r="DY157" s="152"/>
      <c r="DZ157" s="152"/>
      <c r="EA157" s="152"/>
      <c r="EB157" s="22"/>
      <c r="EC157" s="22"/>
      <c r="ED157" s="21"/>
      <c r="EE157" s="21"/>
      <c r="EF157" s="21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</row>
    <row r="158" spans="1:152" s="18" customFormat="1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4"/>
      <c r="BK158" s="14"/>
      <c r="BL158" s="14"/>
      <c r="BM158" s="14"/>
      <c r="BN158" s="15"/>
      <c r="BO158" s="1"/>
      <c r="BP158" s="1"/>
      <c r="BQ158" s="1"/>
      <c r="BR158" s="1"/>
      <c r="BS158" s="1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4"/>
      <c r="DY158" s="4"/>
      <c r="DZ158" s="4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</row>
    <row r="159" spans="1:159" s="18" customFormat="1" ht="16.5" customHeight="1" thickBot="1">
      <c r="A159" s="1"/>
      <c r="B159" s="1"/>
      <c r="C159" s="1"/>
      <c r="D159" s="318" t="s">
        <v>10</v>
      </c>
      <c r="E159" s="319"/>
      <c r="F159" s="320" t="s">
        <v>47</v>
      </c>
      <c r="G159" s="320"/>
      <c r="H159" s="320"/>
      <c r="I159" s="319"/>
      <c r="J159" s="320" t="s">
        <v>49</v>
      </c>
      <c r="K159" s="320"/>
      <c r="L159" s="320"/>
      <c r="M159" s="319"/>
      <c r="N159" s="427" t="s">
        <v>29</v>
      </c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319"/>
      <c r="BE159" s="427" t="s">
        <v>13</v>
      </c>
      <c r="BF159" s="320"/>
      <c r="BG159" s="320"/>
      <c r="BH159" s="320"/>
      <c r="BI159" s="319"/>
      <c r="BJ159" s="253"/>
      <c r="BK159" s="254"/>
      <c r="BL159" s="254"/>
      <c r="BM159" s="255"/>
      <c r="BN159" s="15"/>
      <c r="BO159" s="1"/>
      <c r="BP159" s="1"/>
      <c r="BQ159" s="1"/>
      <c r="BR159" s="1"/>
      <c r="BS159" s="1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3"/>
      <c r="DY159" s="3"/>
      <c r="DZ159" s="3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22"/>
      <c r="EX159" s="22"/>
      <c r="EY159" s="22"/>
      <c r="EZ159" s="22"/>
      <c r="FA159" s="22"/>
      <c r="FB159" s="22"/>
      <c r="FC159" s="22"/>
    </row>
    <row r="160" spans="4:159" s="1" customFormat="1" ht="15">
      <c r="D160" s="239">
        <v>27</v>
      </c>
      <c r="E160" s="158"/>
      <c r="F160" s="156">
        <f>Ergebniseingabe!F142</f>
        <v>1</v>
      </c>
      <c r="G160" s="157"/>
      <c r="H160" s="157"/>
      <c r="I160" s="158"/>
      <c r="J160" s="259">
        <f>Ergebniseingabe!J142</f>
        <v>0.5659722222222222</v>
      </c>
      <c r="K160" s="259"/>
      <c r="L160" s="259"/>
      <c r="M160" s="260"/>
      <c r="N160" s="177" t="str">
        <f>Ergebniseingabe!$N$142</f>
        <v> </v>
      </c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39" t="s">
        <v>16</v>
      </c>
      <c r="AJ160" s="178" t="str">
        <f>Ergebniseingabe!$AJ$142</f>
        <v> </v>
      </c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270"/>
      <c r="BE160" s="463">
        <f>IF(Ergebniseingabe!BE142="","",Ergebniseingabe!BE142)</f>
      </c>
      <c r="BF160" s="464"/>
      <c r="BG160" s="464"/>
      <c r="BH160" s="459">
        <f>IF(Ergebniseingabe!BH142="","",Ergebniseingabe!BH142)</f>
      </c>
      <c r="BI160" s="317"/>
      <c r="BJ160" s="467">
        <f>IF(Ergebniseingabe!BJ142="","",Ergebniseingabe!BJ142)</f>
      </c>
      <c r="BK160" s="468"/>
      <c r="BL160" s="468"/>
      <c r="BM160" s="469"/>
      <c r="BN160" s="15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4"/>
      <c r="EX160" s="4"/>
      <c r="EY160" s="4"/>
      <c r="EZ160" s="4"/>
      <c r="FA160" s="4"/>
      <c r="FB160" s="4"/>
      <c r="FC160" s="4"/>
    </row>
    <row r="161" spans="4:159" s="1" customFormat="1" ht="15.75" thickBot="1">
      <c r="D161" s="240"/>
      <c r="E161" s="161"/>
      <c r="F161" s="159"/>
      <c r="G161" s="160"/>
      <c r="H161" s="160"/>
      <c r="I161" s="161"/>
      <c r="J161" s="261"/>
      <c r="K161" s="261"/>
      <c r="L161" s="261"/>
      <c r="M161" s="262"/>
      <c r="N161" s="271" t="s">
        <v>78</v>
      </c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64"/>
      <c r="AJ161" s="272" t="s">
        <v>79</v>
      </c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272"/>
      <c r="BD161" s="315"/>
      <c r="BE161" s="273"/>
      <c r="BF161" s="274"/>
      <c r="BG161" s="274"/>
      <c r="BH161" s="274"/>
      <c r="BI161" s="339"/>
      <c r="BJ161" s="247"/>
      <c r="BK161" s="248"/>
      <c r="BL161" s="248"/>
      <c r="BM161" s="249"/>
      <c r="BN161" s="15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3"/>
      <c r="EX161" s="3"/>
      <c r="EY161" s="3"/>
      <c r="EZ161" s="3"/>
      <c r="FA161" s="3"/>
      <c r="FB161" s="3"/>
      <c r="FC161" s="3"/>
    </row>
    <row r="162" spans="51:159" s="1" customFormat="1" ht="15" customHeight="1"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15"/>
      <c r="BP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</row>
    <row r="163" spans="2:159" s="1" customFormat="1" ht="16.5" customHeight="1">
      <c r="B163" s="28" t="s">
        <v>30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9"/>
      <c r="AW163" s="29"/>
      <c r="AX163" s="29"/>
      <c r="AY163" s="29"/>
      <c r="AZ163" s="29"/>
      <c r="BA163" s="29"/>
      <c r="BB163" s="80"/>
      <c r="BC163" s="80"/>
      <c r="BD163" s="80"/>
      <c r="BE163" s="80"/>
      <c r="BF163" s="80"/>
      <c r="BG163" s="80"/>
      <c r="BH163" s="80"/>
      <c r="BI163" s="80"/>
      <c r="BJ163" s="3"/>
      <c r="BP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</row>
    <row r="164" spans="1:159" s="1" customFormat="1" ht="15" customHeight="1" thickBo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V164" s="2"/>
      <c r="AW164" s="2"/>
      <c r="AX164" s="2"/>
      <c r="AY164" s="2"/>
      <c r="AZ164" s="2"/>
      <c r="BA164" s="81"/>
      <c r="BB164" s="82"/>
      <c r="BC164" s="82"/>
      <c r="BD164" s="82"/>
      <c r="BE164" s="82"/>
      <c r="BF164" s="82"/>
      <c r="BG164" s="82"/>
      <c r="BH164" s="82"/>
      <c r="BI164" s="82"/>
      <c r="BJ164" s="3"/>
      <c r="BL164" s="45"/>
      <c r="BM164" s="45"/>
      <c r="BN164" s="45"/>
      <c r="BO164" s="59"/>
      <c r="BP164" s="5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</row>
    <row r="165" spans="10:159" s="1" customFormat="1" ht="15" customHeight="1" thickBot="1">
      <c r="J165" s="425" t="s">
        <v>31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426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6"/>
      <c r="BK165" s="45"/>
      <c r="BL165" s="3"/>
      <c r="BM165" s="3"/>
      <c r="BN165" s="3"/>
      <c r="BO165" s="3"/>
      <c r="BP165" s="27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</row>
    <row r="166" spans="10:155" s="1" customFormat="1" ht="15" customHeight="1">
      <c r="J166" s="428" t="s">
        <v>32</v>
      </c>
      <c r="K166" s="429"/>
      <c r="L166" s="422" t="str">
        <f>Ergebniseingabe!L148</f>
        <v> </v>
      </c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4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83"/>
      <c r="BK166" s="65"/>
      <c r="BL166" s="25"/>
      <c r="BM166" s="25"/>
      <c r="BN166" s="25"/>
      <c r="BO166" s="25"/>
      <c r="BP166" s="25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</row>
    <row r="167" spans="10:155" s="1" customFormat="1" ht="15" customHeight="1">
      <c r="J167" s="215" t="s">
        <v>33</v>
      </c>
      <c r="K167" s="216"/>
      <c r="L167" s="357" t="str">
        <f>Ergebniseingabe!L149</f>
        <v> </v>
      </c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8"/>
      <c r="AC167" s="358"/>
      <c r="AD167" s="358"/>
      <c r="AE167" s="358"/>
      <c r="AF167" s="359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83"/>
      <c r="BK167" s="65"/>
      <c r="BL167" s="25"/>
      <c r="BM167" s="25"/>
      <c r="BN167" s="25"/>
      <c r="BO167" s="25"/>
      <c r="BP167" s="25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</row>
    <row r="168" spans="10:155" s="1" customFormat="1" ht="15" customHeight="1">
      <c r="J168" s="215" t="s">
        <v>34</v>
      </c>
      <c r="K168" s="216"/>
      <c r="L168" s="357" t="str">
        <f>Ergebniseingabe!L150</f>
        <v> </v>
      </c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9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83"/>
      <c r="BK168" s="65"/>
      <c r="BL168" s="25"/>
      <c r="BM168" s="25"/>
      <c r="BN168" s="25"/>
      <c r="BO168" s="25"/>
      <c r="BP168" s="25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</row>
    <row r="169" spans="10:155" s="1" customFormat="1" ht="16.5" customHeight="1">
      <c r="J169" s="215" t="s">
        <v>35</v>
      </c>
      <c r="K169" s="216"/>
      <c r="L169" s="357" t="str">
        <f>Ergebniseingabe!L151</f>
        <v> </v>
      </c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9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83"/>
      <c r="BK169" s="65"/>
      <c r="BL169" s="25"/>
      <c r="BM169" s="25"/>
      <c r="BN169" s="25"/>
      <c r="BO169" s="25"/>
      <c r="BP169" s="25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</row>
    <row r="170" spans="10:155" s="1" customFormat="1" ht="16.5" customHeight="1">
      <c r="J170" s="168" t="s">
        <v>36</v>
      </c>
      <c r="K170" s="169"/>
      <c r="L170" s="164" t="str">
        <f>Ergebniseingabe!L152</f>
        <v> </v>
      </c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5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83"/>
      <c r="BK170" s="65"/>
      <c r="BL170" s="25"/>
      <c r="BM170" s="25"/>
      <c r="BN170" s="25"/>
      <c r="BO170" s="25"/>
      <c r="BP170" s="25"/>
      <c r="BQ170" s="25"/>
      <c r="BR170" s="25"/>
      <c r="BS170" s="26"/>
      <c r="BT170" s="27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</row>
    <row r="171" spans="10:155" s="1" customFormat="1" ht="16.5" customHeight="1">
      <c r="J171" s="217"/>
      <c r="K171" s="218"/>
      <c r="L171" s="198" t="str">
        <f>Ergebniseingabe!L153</f>
        <v> </v>
      </c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9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83"/>
      <c r="BK171" s="65"/>
      <c r="BL171" s="25"/>
      <c r="BM171" s="25"/>
      <c r="BN171" s="25"/>
      <c r="BO171" s="25"/>
      <c r="BP171" s="25"/>
      <c r="BQ171" s="25"/>
      <c r="BR171" s="25"/>
      <c r="BS171" s="26"/>
      <c r="BT171" s="27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</row>
    <row r="172" spans="10:155" s="1" customFormat="1" ht="16.5" customHeight="1">
      <c r="J172" s="217"/>
      <c r="K172" s="218"/>
      <c r="L172" s="198" t="str">
        <f>Ergebniseingabe!L154</f>
        <v> </v>
      </c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9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83"/>
      <c r="BK172" s="65"/>
      <c r="BL172" s="25"/>
      <c r="BM172" s="25"/>
      <c r="BN172" s="25"/>
      <c r="BO172" s="25"/>
      <c r="BP172" s="25"/>
      <c r="BQ172" s="25"/>
      <c r="BR172" s="25"/>
      <c r="BS172" s="26"/>
      <c r="BT172" s="27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</row>
    <row r="173" spans="10:155" s="1" customFormat="1" ht="16.5" customHeight="1">
      <c r="J173" s="170"/>
      <c r="K173" s="171"/>
      <c r="L173" s="166" t="str">
        <f>Ergebniseingabe!L155</f>
        <v> </v>
      </c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7"/>
      <c r="AX173" s="2"/>
      <c r="AY173" s="2"/>
      <c r="AZ173" s="2"/>
      <c r="BA173" s="2"/>
      <c r="BB173" s="2"/>
      <c r="BC173" s="2"/>
      <c r="BD173" s="2"/>
      <c r="BE173" s="84"/>
      <c r="BF173" s="84"/>
      <c r="BG173" s="2"/>
      <c r="BH173" s="2"/>
      <c r="BI173" s="2"/>
      <c r="BJ173" s="3"/>
      <c r="BK173" s="24"/>
      <c r="BL173" s="3"/>
      <c r="BM173" s="3"/>
      <c r="BN173" s="3"/>
      <c r="BO173" s="3"/>
      <c r="BP173" s="25"/>
      <c r="BQ173" s="25"/>
      <c r="BR173" s="25"/>
      <c r="BS173" s="26"/>
      <c r="BT173" s="27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</row>
    <row r="174" spans="10:155" s="1" customFormat="1" ht="16.5" customHeight="1">
      <c r="J174" s="168" t="s">
        <v>61</v>
      </c>
      <c r="K174" s="169"/>
      <c r="L174" s="164">
        <f>Ergebniseingabe!L156</f>
      </c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5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3"/>
      <c r="BK174" s="24"/>
      <c r="BL174" s="21"/>
      <c r="BM174" s="21"/>
      <c r="BN174" s="21"/>
      <c r="BO174" s="21"/>
      <c r="BP174" s="25"/>
      <c r="BQ174" s="25"/>
      <c r="BR174" s="25"/>
      <c r="BS174" s="26"/>
      <c r="BT174" s="27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</row>
    <row r="175" spans="10:155" s="1" customFormat="1" ht="16.5" customHeight="1">
      <c r="J175" s="217"/>
      <c r="K175" s="218"/>
      <c r="L175" s="198">
        <f>Ergebniseingabe!L157</f>
      </c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9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3"/>
      <c r="BK175" s="24"/>
      <c r="BL175" s="15"/>
      <c r="BM175" s="15"/>
      <c r="BN175" s="15"/>
      <c r="BO175" s="15"/>
      <c r="BP175" s="25"/>
      <c r="BQ175" s="25"/>
      <c r="BR175" s="25"/>
      <c r="BS175" s="26"/>
      <c r="BT175" s="27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</row>
    <row r="176" spans="10:155" s="1" customFormat="1" ht="16.5" customHeight="1">
      <c r="J176" s="217"/>
      <c r="K176" s="218"/>
      <c r="L176" s="198">
        <f>Ergebniseingabe!L158</f>
      </c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9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3"/>
      <c r="BK176" s="24"/>
      <c r="BL176" s="15"/>
      <c r="BM176" s="15"/>
      <c r="BN176" s="15"/>
      <c r="BO176" s="15"/>
      <c r="BP176" s="25"/>
      <c r="BQ176" s="25"/>
      <c r="BR176" s="25"/>
      <c r="BS176" s="26"/>
      <c r="BT176" s="27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</row>
    <row r="177" spans="10:155" s="1" customFormat="1" ht="16.5" customHeight="1" thickBot="1">
      <c r="J177" s="235"/>
      <c r="K177" s="236"/>
      <c r="L177" s="237">
        <f>Ergebniseingabe!L159</f>
      </c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8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3"/>
      <c r="BK177" s="24"/>
      <c r="BL177" s="15"/>
      <c r="BM177" s="15"/>
      <c r="BN177" s="15"/>
      <c r="BO177" s="15"/>
      <c r="BP177" s="25"/>
      <c r="BQ177" s="25"/>
      <c r="BR177" s="25"/>
      <c r="BS177" s="26"/>
      <c r="BT177" s="27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4"/>
      <c r="DU177" s="4"/>
      <c r="DV177" s="4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</row>
    <row r="178" spans="53:155" s="1" customFormat="1" ht="16.5" customHeight="1">
      <c r="BA178" s="2"/>
      <c r="BB178" s="2"/>
      <c r="BC178" s="2"/>
      <c r="BD178" s="2"/>
      <c r="BE178" s="2"/>
      <c r="BF178" s="2"/>
      <c r="BG178" s="2"/>
      <c r="BH178" s="2"/>
      <c r="BI178" s="2"/>
      <c r="BJ178" s="3"/>
      <c r="BK178" s="24"/>
      <c r="BL178" s="15"/>
      <c r="BM178" s="15"/>
      <c r="BN178" s="15"/>
      <c r="BO178" s="15"/>
      <c r="BP178" s="3"/>
      <c r="BQ178" s="25"/>
      <c r="BR178" s="25"/>
      <c r="BS178" s="26"/>
      <c r="BT178" s="27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5"/>
      <c r="ET178" s="5"/>
      <c r="EU178" s="5"/>
      <c r="EV178" s="5"/>
      <c r="EW178" s="5"/>
      <c r="EX178" s="5"/>
      <c r="EY178" s="5"/>
    </row>
    <row r="179" spans="1:155" s="1" customFormat="1" ht="16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3"/>
      <c r="BK179" s="24"/>
      <c r="BL179" s="15"/>
      <c r="BM179" s="15"/>
      <c r="BN179" s="15"/>
      <c r="BO179" s="15"/>
      <c r="BP179" s="41"/>
      <c r="BQ179" s="25"/>
      <c r="BR179" s="25"/>
      <c r="BS179" s="26"/>
      <c r="BT179" s="27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4"/>
      <c r="ET179" s="4"/>
      <c r="EU179" s="4"/>
      <c r="EV179" s="4"/>
      <c r="EW179" s="4"/>
      <c r="EX179" s="4"/>
      <c r="EY179" s="4"/>
    </row>
    <row r="180" spans="1:159" s="24" customFormat="1" ht="16.5" customHeight="1">
      <c r="A180" s="107"/>
      <c r="B180" s="233" t="s">
        <v>50</v>
      </c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25"/>
      <c r="BR180" s="25"/>
      <c r="BS180" s="26"/>
      <c r="BT180" s="27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</row>
    <row r="181" spans="1:159" s="24" customFormat="1" ht="16.5" customHeight="1">
      <c r="A181" s="30"/>
      <c r="B181" s="234" t="s">
        <v>51</v>
      </c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234"/>
      <c r="AK181" s="234"/>
      <c r="AL181" s="234"/>
      <c r="AM181" s="234"/>
      <c r="AN181" s="234"/>
      <c r="AO181" s="234"/>
      <c r="AP181" s="234"/>
      <c r="AQ181" s="234"/>
      <c r="AR181" s="234"/>
      <c r="AS181" s="234"/>
      <c r="AT181" s="234"/>
      <c r="AU181" s="234"/>
      <c r="AV181" s="234"/>
      <c r="AW181" s="30"/>
      <c r="AX181" s="30"/>
      <c r="AY181" s="30"/>
      <c r="AZ181" s="30"/>
      <c r="BA181" s="30"/>
      <c r="BB181" s="30"/>
      <c r="BC181" s="30"/>
      <c r="BD181" s="30"/>
      <c r="BE181" s="30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25"/>
      <c r="BR181" s="25"/>
      <c r="BS181" s="26"/>
      <c r="BT181" s="27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</row>
    <row r="182" spans="1:159" s="24" customFormat="1" ht="14.25">
      <c r="A182" s="30"/>
      <c r="B182" s="234" t="s">
        <v>52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30"/>
      <c r="AX182" s="30"/>
      <c r="AY182" s="30"/>
      <c r="AZ182" s="30"/>
      <c r="BA182" s="30"/>
      <c r="BB182" s="30"/>
      <c r="BC182" s="30"/>
      <c r="BD182" s="30"/>
      <c r="BE182" s="30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3"/>
      <c r="BR182" s="3"/>
      <c r="BS182" s="4"/>
      <c r="BT182" s="5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</row>
    <row r="183" spans="1:159" s="24" customFormat="1" ht="14.25">
      <c r="A183" s="30"/>
      <c r="B183" s="234" t="s">
        <v>53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</row>
    <row r="184" spans="1:104" s="107" customFormat="1" ht="12.75" customHeight="1">
      <c r="A184" s="30"/>
      <c r="B184" s="232" t="s">
        <v>54</v>
      </c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</row>
    <row r="185" spans="2:104" s="30" customFormat="1" ht="12.75" customHeight="1">
      <c r="B185" s="231" t="s">
        <v>55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</row>
    <row r="186" spans="2:104" s="30" customFormat="1" ht="12.75" customHeight="1">
      <c r="B186" s="231" t="s">
        <v>56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</row>
    <row r="187" spans="2:104" s="30" customFormat="1" ht="12.75" customHeight="1">
      <c r="B187" s="231" t="s">
        <v>57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Y187" s="4"/>
      <c r="CZ187" s="4"/>
    </row>
    <row r="188" spans="2:91" s="30" customFormat="1" ht="37.5" customHeight="1">
      <c r="B188" s="231" t="s">
        <v>58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2:91" s="30" customFormat="1" ht="12.75" customHeight="1"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2:91" s="30" customFormat="1" ht="12.75" customHeight="1"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2:91" s="30" customFormat="1" ht="12.75" customHeight="1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1:91" s="30" customFormat="1" ht="12.75" customHeight="1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1:91" s="30" customFormat="1" ht="12.75" customHeight="1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1:91" s="30" customFormat="1" ht="12.75" customHeight="1" hidden="1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1:91" s="30" customFormat="1" ht="12.75" customHeight="1" hidden="1">
      <c r="A195" s="155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="155" customFormat="1" ht="12.75" hidden="1"/>
    <row r="197" s="155" customFormat="1" ht="12.75" hidden="1"/>
    <row r="198" s="155" customFormat="1" ht="12.75" hidden="1"/>
    <row r="199" s="155" customFormat="1" ht="12.75" hidden="1"/>
    <row r="200" s="155" customFormat="1" ht="12.75" hidden="1"/>
    <row r="201" s="155" customFormat="1" ht="12.75" hidden="1"/>
    <row r="202" s="155" customFormat="1" ht="12.75" hidden="1"/>
    <row r="203" s="155" customFormat="1" ht="12.75" hidden="1"/>
    <row r="204" s="155" customFormat="1" ht="12.75" hidden="1"/>
    <row r="205" s="155" customFormat="1" ht="12.75" hidden="1"/>
    <row r="206" s="155" customFormat="1" ht="12.75" hidden="1"/>
    <row r="207" s="155" customFormat="1" ht="12.75" hidden="1"/>
    <row r="208" s="155" customFormat="1" ht="12.75" hidden="1"/>
    <row r="209" s="155" customFormat="1" ht="12.75" hidden="1"/>
    <row r="210" s="155" customFormat="1" ht="12.75" hidden="1"/>
    <row r="211" s="155" customFormat="1" ht="12.75" hidden="1"/>
    <row r="212" s="155" customFormat="1" ht="12.75" hidden="1"/>
    <row r="213" s="155" customFormat="1" ht="12.75" hidden="1"/>
    <row r="214" s="155" customFormat="1" ht="12.75" hidden="1"/>
    <row r="215" s="155" customFormat="1" ht="12.75" hidden="1"/>
    <row r="216" s="155" customFormat="1" ht="12.75" hidden="1"/>
    <row r="217" s="155" customFormat="1" ht="12.75" hidden="1"/>
    <row r="218" s="155" customFormat="1" ht="12.75" hidden="1"/>
    <row r="219" s="155" customFormat="1" ht="12.75" hidden="1"/>
    <row r="220" s="155" customFormat="1" ht="12.75" hidden="1"/>
    <row r="221" s="155" customFormat="1" ht="12.75" hidden="1"/>
    <row r="222" s="155" customFormat="1" ht="12.75" hidden="1"/>
    <row r="223" s="155" customFormat="1" ht="12.75" hidden="1"/>
    <row r="224" s="155" customFormat="1" ht="12.75" hidden="1"/>
    <row r="225" s="155" customFormat="1" ht="12.75" hidden="1"/>
    <row r="226" s="155" customFormat="1" ht="12.75" hidden="1"/>
    <row r="227" s="155" customFormat="1" ht="12.75" hidden="1"/>
    <row r="228" s="155" customFormat="1" ht="12.75" hidden="1"/>
    <row r="229" s="155" customFormat="1" ht="12.75" hidden="1"/>
    <row r="230" s="155" customFormat="1" ht="12.75" hidden="1"/>
    <row r="231" s="155" customFormat="1" ht="12.75" hidden="1"/>
    <row r="232" s="155" customFormat="1" ht="12.75" hidden="1"/>
    <row r="233" s="155" customFormat="1" ht="12.75" hidden="1"/>
    <row r="234" s="155" customFormat="1" ht="12.75" hidden="1"/>
    <row r="235" s="155" customFormat="1" ht="12.75" hidden="1"/>
    <row r="236" s="155" customFormat="1" ht="12.75" hidden="1"/>
    <row r="237" s="155" customFormat="1" ht="12.75" hidden="1"/>
    <row r="238" s="155" customFormat="1" ht="12.75" hidden="1"/>
    <row r="239" s="155" customFormat="1" ht="12.75" hidden="1"/>
    <row r="240" s="155" customFormat="1" ht="12.75" hidden="1"/>
    <row r="241" s="155" customFormat="1" ht="12.75" hidden="1"/>
    <row r="242" s="155" customFormat="1" ht="12.75" hidden="1"/>
    <row r="243" s="155" customFormat="1" ht="12.75" hidden="1"/>
    <row r="244" s="155" customFormat="1" ht="12.75" hidden="1"/>
    <row r="245" s="155" customFormat="1" ht="12.75" hidden="1"/>
    <row r="246" s="155" customFormat="1" ht="12.75" hidden="1"/>
    <row r="247" s="155" customFormat="1" ht="12.75" hidden="1"/>
    <row r="248" s="155" customFormat="1" ht="12.75" hidden="1"/>
    <row r="249" s="155" customFormat="1" ht="12.75" hidden="1"/>
    <row r="250" s="155" customFormat="1" ht="12.75" hidden="1"/>
    <row r="251" s="155" customFormat="1" ht="12.75" hidden="1"/>
    <row r="252" s="155" customFormat="1" ht="12.75" hidden="1"/>
    <row r="253" s="155" customFormat="1" ht="12.75" hidden="1"/>
    <row r="254" s="155" customFormat="1" ht="12.75" hidden="1"/>
    <row r="255" s="155" customFormat="1" ht="12.75" hidden="1"/>
    <row r="256" s="155" customFormat="1" ht="12.75" hidden="1"/>
    <row r="257" s="155" customFormat="1" ht="12.75" hidden="1"/>
    <row r="258" s="155" customFormat="1" ht="12.75" hidden="1"/>
    <row r="259" s="155" customFormat="1" ht="12.75" hidden="1"/>
    <row r="260" s="155" customFormat="1" ht="12.75" hidden="1"/>
    <row r="261" s="155" customFormat="1" ht="12.75" hidden="1"/>
    <row r="262" s="155" customFormat="1" ht="12.75" hidden="1"/>
    <row r="263" s="155" customFormat="1" ht="12.75" hidden="1"/>
    <row r="264" s="155" customFormat="1" ht="12.75" hidden="1"/>
    <row r="265" s="155" customFormat="1" ht="12.75" hidden="1"/>
    <row r="266" s="155" customFormat="1" ht="12.75" hidden="1"/>
    <row r="267" s="155" customFormat="1" ht="12.75" hidden="1"/>
    <row r="268" s="155" customFormat="1" ht="12.75" hidden="1"/>
    <row r="269" s="155" customFormat="1" ht="12.75" hidden="1"/>
    <row r="270" s="155" customFormat="1" ht="12.75" hidden="1"/>
    <row r="271" s="155" customFormat="1" ht="12.75" hidden="1"/>
    <row r="272" s="155" customFormat="1" ht="12.75" hidden="1"/>
    <row r="273" s="155" customFormat="1" ht="12.75" hidden="1"/>
    <row r="274" s="155" customFormat="1" ht="12.75" hidden="1"/>
    <row r="275" s="155" customFormat="1" ht="12.75" hidden="1"/>
    <row r="276" s="155" customFormat="1" ht="12.75" hidden="1"/>
    <row r="277" s="155" customFormat="1" ht="12.75" hidden="1"/>
    <row r="278" s="155" customFormat="1" ht="12.75" hidden="1"/>
    <row r="279" s="155" customFormat="1" ht="12.75" hidden="1"/>
    <row r="280" s="155" customFormat="1" ht="12.75" hidden="1"/>
    <row r="281" s="155" customFormat="1" ht="12.75" hidden="1"/>
    <row r="282" s="155" customFormat="1" ht="12.75" hidden="1"/>
    <row r="283" s="155" customFormat="1" ht="12.75" hidden="1"/>
    <row r="284" s="155" customFormat="1" ht="12.75" hidden="1"/>
    <row r="285" s="155" customFormat="1" ht="12.75" hidden="1"/>
    <row r="286" s="155" customFormat="1" ht="12.75" hidden="1"/>
    <row r="287" s="155" customFormat="1" ht="12.75" hidden="1"/>
    <row r="288" s="155" customFormat="1" ht="12.75" hidden="1"/>
    <row r="289" s="155" customFormat="1" ht="12.75" hidden="1"/>
    <row r="290" s="155" customFormat="1" ht="12.75" hidden="1"/>
    <row r="291" s="155" customFormat="1" ht="12.75" hidden="1"/>
    <row r="292" s="155" customFormat="1" ht="12.75" hidden="1"/>
    <row r="293" s="155" customFormat="1" ht="12.75" hidden="1"/>
    <row r="294" s="155" customFormat="1" ht="12.75" hidden="1"/>
    <row r="295" s="155" customFormat="1" ht="12.75" hidden="1"/>
    <row r="296" spans="1:68" s="155" customFormat="1" ht="12.75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</row>
    <row r="297" spans="1:68" s="155" customFormat="1" ht="12.75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</row>
    <row r="298" spans="1:68" s="155" customFormat="1" ht="12.75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</row>
    <row r="299" spans="1:68" s="155" customFormat="1" ht="12.75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</row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</sheetData>
  <sheetProtection selectLockedCells="1"/>
  <mergeCells count="663">
    <mergeCell ref="N160:AH160"/>
    <mergeCell ref="J166:K166"/>
    <mergeCell ref="J174:K174"/>
    <mergeCell ref="J173:K173"/>
    <mergeCell ref="J167:K167"/>
    <mergeCell ref="B180:AV180"/>
    <mergeCell ref="B181:AV181"/>
    <mergeCell ref="B182:AV182"/>
    <mergeCell ref="B183:AV183"/>
    <mergeCell ref="B188:AV188"/>
    <mergeCell ref="B184:AV184"/>
    <mergeCell ref="B185:AV185"/>
    <mergeCell ref="B186:AV186"/>
    <mergeCell ref="B187:AV187"/>
    <mergeCell ref="J137:M137"/>
    <mergeCell ref="J151:M152"/>
    <mergeCell ref="BJ139:BM139"/>
    <mergeCell ref="BJ137:BM137"/>
    <mergeCell ref="BJ141:BM141"/>
    <mergeCell ref="J150:M150"/>
    <mergeCell ref="N150:BD150"/>
    <mergeCell ref="BE150:BI150"/>
    <mergeCell ref="BJ150:BM150"/>
    <mergeCell ref="BJ146:BM146"/>
    <mergeCell ref="BE146:BI146"/>
    <mergeCell ref="BH147:BI147"/>
    <mergeCell ref="BJ147:BM147"/>
    <mergeCell ref="BJ152:BM152"/>
    <mergeCell ref="BJ138:BM138"/>
    <mergeCell ref="BJ142:BM142"/>
    <mergeCell ref="N143:AH143"/>
    <mergeCell ref="D134:E135"/>
    <mergeCell ref="BJ131:BM131"/>
    <mergeCell ref="BH134:BI134"/>
    <mergeCell ref="BJ133:BM133"/>
    <mergeCell ref="BE130:BG130"/>
    <mergeCell ref="BH130:BI130"/>
    <mergeCell ref="BJ130:BM130"/>
    <mergeCell ref="N131:AH131"/>
    <mergeCell ref="AJ131:BD131"/>
    <mergeCell ref="BE131:BI131"/>
    <mergeCell ref="X10:AB10"/>
    <mergeCell ref="BJ129:BM129"/>
    <mergeCell ref="AJ130:BD130"/>
    <mergeCell ref="D129:E129"/>
    <mergeCell ref="F129:I129"/>
    <mergeCell ref="D130:E131"/>
    <mergeCell ref="F130:I131"/>
    <mergeCell ref="D133:E133"/>
    <mergeCell ref="F133:I133"/>
    <mergeCell ref="B108:E108"/>
    <mergeCell ref="F108:H108"/>
    <mergeCell ref="AM111:AO111"/>
    <mergeCell ref="BC2:BN3"/>
    <mergeCell ref="B2:BA2"/>
    <mergeCell ref="B3:BA3"/>
    <mergeCell ref="J48:M48"/>
    <mergeCell ref="J38:M38"/>
    <mergeCell ref="J40:M40"/>
    <mergeCell ref="AJ38:BD38"/>
    <mergeCell ref="AJ39:BD39"/>
    <mergeCell ref="AJ40:BD40"/>
    <mergeCell ref="J41:M41"/>
    <mergeCell ref="AI10:AM10"/>
    <mergeCell ref="AN10:AV10"/>
    <mergeCell ref="AW10:BA10"/>
    <mergeCell ref="B6:BA6"/>
    <mergeCell ref="N39:AH39"/>
    <mergeCell ref="N40:AH40"/>
    <mergeCell ref="N41:AH41"/>
    <mergeCell ref="B8:BA8"/>
    <mergeCell ref="D45:F45"/>
    <mergeCell ref="D46:F46"/>
    <mergeCell ref="B10:G10"/>
    <mergeCell ref="H10:K10"/>
    <mergeCell ref="U10:V10"/>
    <mergeCell ref="F114:H114"/>
    <mergeCell ref="B109:E109"/>
    <mergeCell ref="AC10:AH10"/>
    <mergeCell ref="D34:F34"/>
    <mergeCell ref="BJ134:BM134"/>
    <mergeCell ref="N135:AH135"/>
    <mergeCell ref="AJ135:BD135"/>
    <mergeCell ref="BE135:BI135"/>
    <mergeCell ref="BJ135:BM135"/>
    <mergeCell ref="BE134:BG134"/>
    <mergeCell ref="F134:I135"/>
    <mergeCell ref="G37:I37"/>
    <mergeCell ref="J39:M39"/>
    <mergeCell ref="J37:M37"/>
    <mergeCell ref="N38:AH38"/>
    <mergeCell ref="N37:AH37"/>
    <mergeCell ref="D37:F37"/>
    <mergeCell ref="AW126:BA126"/>
    <mergeCell ref="BA111:BC111"/>
    <mergeCell ref="AX113:AZ113"/>
    <mergeCell ref="BM75:BO75"/>
    <mergeCell ref="BM74:BO74"/>
    <mergeCell ref="AM114:AO114"/>
    <mergeCell ref="AM106:AO106"/>
    <mergeCell ref="F159:I159"/>
    <mergeCell ref="F160:I161"/>
    <mergeCell ref="D156:E157"/>
    <mergeCell ref="D137:E137"/>
    <mergeCell ref="F137:I137"/>
    <mergeCell ref="F156:I157"/>
    <mergeCell ref="D146:E146"/>
    <mergeCell ref="D151:E152"/>
    <mergeCell ref="F151:I152"/>
    <mergeCell ref="D160:E161"/>
    <mergeCell ref="D159:E159"/>
    <mergeCell ref="F155:I155"/>
    <mergeCell ref="F138:I139"/>
    <mergeCell ref="F150:I150"/>
    <mergeCell ref="D155:E155"/>
    <mergeCell ref="D138:E139"/>
    <mergeCell ref="BH138:BI138"/>
    <mergeCell ref="B90:E90"/>
    <mergeCell ref="F90:H90"/>
    <mergeCell ref="BE137:BI137"/>
    <mergeCell ref="J112:K112"/>
    <mergeCell ref="BA112:BC112"/>
    <mergeCell ref="AS107:AU107"/>
    <mergeCell ref="AV107:AX107"/>
    <mergeCell ref="AJ112:AL112"/>
    <mergeCell ref="J134:M135"/>
    <mergeCell ref="N134:AH134"/>
    <mergeCell ref="AJ134:BD134"/>
    <mergeCell ref="N137:BD137"/>
    <mergeCell ref="J133:M133"/>
    <mergeCell ref="N133:BD133"/>
    <mergeCell ref="BE133:BI133"/>
    <mergeCell ref="AJ138:BD138"/>
    <mergeCell ref="J91:K91"/>
    <mergeCell ref="H126:K126"/>
    <mergeCell ref="B112:E112"/>
    <mergeCell ref="F112:H112"/>
    <mergeCell ref="J129:M129"/>
    <mergeCell ref="F113:H113"/>
    <mergeCell ref="B114:E114"/>
    <mergeCell ref="BJ74:BL74"/>
    <mergeCell ref="BH75:BI75"/>
    <mergeCell ref="AJ74:AL74"/>
    <mergeCell ref="B52:BA52"/>
    <mergeCell ref="BC52:BN53"/>
    <mergeCell ref="B89:E89"/>
    <mergeCell ref="F89:H89"/>
    <mergeCell ref="J49:M49"/>
    <mergeCell ref="BH90:BI90"/>
    <mergeCell ref="BJ75:BL75"/>
    <mergeCell ref="AS74:AU74"/>
    <mergeCell ref="B77:E77"/>
    <mergeCell ref="F77:H77"/>
    <mergeCell ref="B75:E75"/>
    <mergeCell ref="F76:H76"/>
    <mergeCell ref="F75:H75"/>
    <mergeCell ref="B76:E76"/>
    <mergeCell ref="BE74:BF74"/>
    <mergeCell ref="AM74:AO74"/>
    <mergeCell ref="BM76:BO76"/>
    <mergeCell ref="BM89:BO89"/>
    <mergeCell ref="BB77:BD77"/>
    <mergeCell ref="BH74:BI74"/>
    <mergeCell ref="BH76:BI76"/>
    <mergeCell ref="L177:AF177"/>
    <mergeCell ref="L176:AF176"/>
    <mergeCell ref="L170:AF170"/>
    <mergeCell ref="J168:K168"/>
    <mergeCell ref="J169:K169"/>
    <mergeCell ref="J171:K171"/>
    <mergeCell ref="L171:AF171"/>
    <mergeCell ref="J172:K172"/>
    <mergeCell ref="L172:AF172"/>
    <mergeCell ref="L168:AF168"/>
    <mergeCell ref="L169:AF169"/>
    <mergeCell ref="J170:K170"/>
    <mergeCell ref="L175:AF175"/>
    <mergeCell ref="L174:AF174"/>
    <mergeCell ref="L173:AF173"/>
    <mergeCell ref="J177:K177"/>
    <mergeCell ref="J176:K176"/>
    <mergeCell ref="J175:K175"/>
    <mergeCell ref="J165:AF165"/>
    <mergeCell ref="J155:M155"/>
    <mergeCell ref="AJ139:BD139"/>
    <mergeCell ref="BE139:BI139"/>
    <mergeCell ref="BM73:BO73"/>
    <mergeCell ref="BJ73:BL73"/>
    <mergeCell ref="BE73:BI73"/>
    <mergeCell ref="AV73:AX73"/>
    <mergeCell ref="BE159:BI159"/>
    <mergeCell ref="J138:M139"/>
    <mergeCell ref="BM93:BO93"/>
    <mergeCell ref="BE106:BF106"/>
    <mergeCell ref="AY106:BA106"/>
    <mergeCell ref="BB107:BD107"/>
    <mergeCell ref="BE142:BG142"/>
    <mergeCell ref="J142:M143"/>
    <mergeCell ref="L91:AF91"/>
    <mergeCell ref="L114:AF114"/>
    <mergeCell ref="AG114:AI114"/>
    <mergeCell ref="J130:M131"/>
    <mergeCell ref="J113:K113"/>
    <mergeCell ref="AS106:AU106"/>
    <mergeCell ref="J77:K77"/>
    <mergeCell ref="J114:K114"/>
    <mergeCell ref="AP113:AR113"/>
    <mergeCell ref="AP109:AR109"/>
    <mergeCell ref="AV93:AX93"/>
    <mergeCell ref="BB92:BD92"/>
    <mergeCell ref="BB105:BD105"/>
    <mergeCell ref="BJ90:BL90"/>
    <mergeCell ref="AY108:BA108"/>
    <mergeCell ref="AV108:AX108"/>
    <mergeCell ref="BM108:BO108"/>
    <mergeCell ref="BE105:BI105"/>
    <mergeCell ref="BE93:BF93"/>
    <mergeCell ref="BM106:BO106"/>
    <mergeCell ref="BM107:BO107"/>
    <mergeCell ref="BJ109:BL109"/>
    <mergeCell ref="AS108:AU108"/>
    <mergeCell ref="B88:H88"/>
    <mergeCell ref="AJ91:AL91"/>
    <mergeCell ref="AM91:AO91"/>
    <mergeCell ref="J93:K93"/>
    <mergeCell ref="J106:K106"/>
    <mergeCell ref="AP95:AR105"/>
    <mergeCell ref="J107:K107"/>
    <mergeCell ref="F91:H91"/>
    <mergeCell ref="B92:E92"/>
    <mergeCell ref="F92:H92"/>
    <mergeCell ref="B93:E93"/>
    <mergeCell ref="F93:H93"/>
    <mergeCell ref="B91:E91"/>
    <mergeCell ref="B104:H104"/>
    <mergeCell ref="B105:E105"/>
    <mergeCell ref="F105:H105"/>
    <mergeCell ref="B107:E107"/>
    <mergeCell ref="F107:H107"/>
    <mergeCell ref="B106:E106"/>
    <mergeCell ref="F106:H106"/>
    <mergeCell ref="AJ107:AL107"/>
    <mergeCell ref="AM92:AO92"/>
    <mergeCell ref="AP92:AR92"/>
    <mergeCell ref="AJ34:BD34"/>
    <mergeCell ref="AJ35:BD35"/>
    <mergeCell ref="AJ42:BD42"/>
    <mergeCell ref="AJ33:BD33"/>
    <mergeCell ref="AJ32:BD32"/>
    <mergeCell ref="BE43:BG43"/>
    <mergeCell ref="BH43:BI43"/>
    <mergeCell ref="BH34:BI34"/>
    <mergeCell ref="L90:AF90"/>
    <mergeCell ref="BB89:BD89"/>
    <mergeCell ref="AY90:BA90"/>
    <mergeCell ref="N42:AH42"/>
    <mergeCell ref="BE42:BG42"/>
    <mergeCell ref="BH46:BI46"/>
    <mergeCell ref="BE31:BI31"/>
    <mergeCell ref="BH32:BI32"/>
    <mergeCell ref="BE32:BG32"/>
    <mergeCell ref="BH39:BI39"/>
    <mergeCell ref="BH37:BI37"/>
    <mergeCell ref="BH38:BI38"/>
    <mergeCell ref="BE38:BG38"/>
    <mergeCell ref="BE37:BG37"/>
    <mergeCell ref="BE40:BG40"/>
    <mergeCell ref="BE41:BG41"/>
    <mergeCell ref="BH33:BI33"/>
    <mergeCell ref="BE34:BG34"/>
    <mergeCell ref="BE35:BG35"/>
    <mergeCell ref="BE33:BG33"/>
    <mergeCell ref="BE36:BG36"/>
    <mergeCell ref="BE141:BI141"/>
    <mergeCell ref="AM95:AO105"/>
    <mergeCell ref="AM107:AO107"/>
    <mergeCell ref="AS109:AU109"/>
    <mergeCell ref="AP107:AR107"/>
    <mergeCell ref="BE108:BF108"/>
    <mergeCell ref="BB90:BD90"/>
    <mergeCell ref="AJ113:AL113"/>
    <mergeCell ref="BE138:BG138"/>
    <mergeCell ref="AJ114:AL114"/>
    <mergeCell ref="N129:BD129"/>
    <mergeCell ref="BE129:BI129"/>
    <mergeCell ref="N130:AH130"/>
    <mergeCell ref="BA113:BC113"/>
    <mergeCell ref="AS113:AT113"/>
    <mergeCell ref="AP108:AR108"/>
    <mergeCell ref="AV90:AX90"/>
    <mergeCell ref="AJ90:AL90"/>
    <mergeCell ref="AS92:AU92"/>
    <mergeCell ref="AX114:AZ114"/>
    <mergeCell ref="AV114:AW114"/>
    <mergeCell ref="AM113:AO113"/>
    <mergeCell ref="AS112:AT112"/>
    <mergeCell ref="AS93:AU93"/>
    <mergeCell ref="BH48:BI48"/>
    <mergeCell ref="BE48:BG48"/>
    <mergeCell ref="BE47:BG47"/>
    <mergeCell ref="BH47:BI47"/>
    <mergeCell ref="AY77:BA77"/>
    <mergeCell ref="AY89:BA89"/>
    <mergeCell ref="BB73:BD73"/>
    <mergeCell ref="BB74:BD74"/>
    <mergeCell ref="BH49:BI49"/>
    <mergeCell ref="AJ49:BD49"/>
    <mergeCell ref="AJ48:BD48"/>
    <mergeCell ref="AV89:AX89"/>
    <mergeCell ref="AP79:AR89"/>
    <mergeCell ref="BE49:BG49"/>
    <mergeCell ref="BE46:BG46"/>
    <mergeCell ref="AP63:AR73"/>
    <mergeCell ref="BE75:BF75"/>
    <mergeCell ref="AM76:AO76"/>
    <mergeCell ref="BB91:BD91"/>
    <mergeCell ref="AS76:AU76"/>
    <mergeCell ref="AM77:AO77"/>
    <mergeCell ref="AV77:AX77"/>
    <mergeCell ref="AS77:AU77"/>
    <mergeCell ref="AP75:AR75"/>
    <mergeCell ref="AP76:AR76"/>
    <mergeCell ref="AP91:AR91"/>
    <mergeCell ref="AM75:AO75"/>
    <mergeCell ref="J109:K109"/>
    <mergeCell ref="J89:AF89"/>
    <mergeCell ref="J105:AF105"/>
    <mergeCell ref="J111:AF111"/>
    <mergeCell ref="L93:AF93"/>
    <mergeCell ref="L92:AF92"/>
    <mergeCell ref="AV109:AX109"/>
    <mergeCell ref="AM63:AO73"/>
    <mergeCell ref="AV75:AX75"/>
    <mergeCell ref="AP74:AR74"/>
    <mergeCell ref="AS75:AU75"/>
    <mergeCell ref="AV91:AX91"/>
    <mergeCell ref="AM93:AO93"/>
    <mergeCell ref="AP93:AR93"/>
    <mergeCell ref="AV74:AX74"/>
    <mergeCell ref="AP77:AR77"/>
    <mergeCell ref="AP90:AR90"/>
    <mergeCell ref="AM90:AO90"/>
    <mergeCell ref="AS90:AU90"/>
    <mergeCell ref="AS91:AU91"/>
    <mergeCell ref="J90:K90"/>
    <mergeCell ref="AG91:AI91"/>
    <mergeCell ref="AG90:AI90"/>
    <mergeCell ref="AV76:AX76"/>
    <mergeCell ref="N31:BD31"/>
    <mergeCell ref="AJ77:AL77"/>
    <mergeCell ref="AY91:BA91"/>
    <mergeCell ref="AG77:AI77"/>
    <mergeCell ref="AG79:AI89"/>
    <mergeCell ref="N34:AH34"/>
    <mergeCell ref="N35:AH35"/>
    <mergeCell ref="D31:F31"/>
    <mergeCell ref="D32:F32"/>
    <mergeCell ref="D33:F33"/>
    <mergeCell ref="G47:I47"/>
    <mergeCell ref="B72:H72"/>
    <mergeCell ref="B73:E73"/>
    <mergeCell ref="F73:H73"/>
    <mergeCell ref="B47:C47"/>
    <mergeCell ref="G48:I48"/>
    <mergeCell ref="D49:F49"/>
    <mergeCell ref="B60:G60"/>
    <mergeCell ref="AJ46:BD46"/>
    <mergeCell ref="AJ47:BD47"/>
    <mergeCell ref="AS89:AU89"/>
    <mergeCell ref="AJ63:AL73"/>
    <mergeCell ref="AJ75:AL75"/>
    <mergeCell ref="AJ76:AL76"/>
    <mergeCell ref="F74:H74"/>
    <mergeCell ref="D40:F40"/>
    <mergeCell ref="G44:I44"/>
    <mergeCell ref="B44:C44"/>
    <mergeCell ref="B31:C31"/>
    <mergeCell ref="J35:M35"/>
    <mergeCell ref="J31:M31"/>
    <mergeCell ref="J32:M32"/>
    <mergeCell ref="B33:C33"/>
    <mergeCell ref="B35:C35"/>
    <mergeCell ref="D35:F35"/>
    <mergeCell ref="D36:F36"/>
    <mergeCell ref="D38:F38"/>
    <mergeCell ref="D39:F39"/>
    <mergeCell ref="B34:C34"/>
    <mergeCell ref="B36:C36"/>
    <mergeCell ref="G32:I32"/>
    <mergeCell ref="G34:I34"/>
    <mergeCell ref="G33:I33"/>
    <mergeCell ref="J76:K76"/>
    <mergeCell ref="BB75:BD75"/>
    <mergeCell ref="L112:AF112"/>
    <mergeCell ref="L109:AF109"/>
    <mergeCell ref="B37:C37"/>
    <mergeCell ref="N36:AH36"/>
    <mergeCell ref="J36:M36"/>
    <mergeCell ref="J45:M45"/>
    <mergeCell ref="G49:I49"/>
    <mergeCell ref="B74:E74"/>
    <mergeCell ref="J74:K74"/>
    <mergeCell ref="AG74:AI74"/>
    <mergeCell ref="B42:C42"/>
    <mergeCell ref="G41:I41"/>
    <mergeCell ref="D43:F43"/>
    <mergeCell ref="B41:C41"/>
    <mergeCell ref="N44:AH44"/>
    <mergeCell ref="H60:K60"/>
    <mergeCell ref="B43:C43"/>
    <mergeCell ref="B40:C40"/>
    <mergeCell ref="G43:I43"/>
    <mergeCell ref="G40:I40"/>
    <mergeCell ref="G42:I42"/>
    <mergeCell ref="G36:I36"/>
    <mergeCell ref="B113:E113"/>
    <mergeCell ref="N138:AH138"/>
    <mergeCell ref="N139:AH139"/>
    <mergeCell ref="F109:H109"/>
    <mergeCell ref="AJ143:BD143"/>
    <mergeCell ref="BE143:BI143"/>
    <mergeCell ref="BJ143:BM143"/>
    <mergeCell ref="F142:I143"/>
    <mergeCell ref="J34:M34"/>
    <mergeCell ref="L75:AF75"/>
    <mergeCell ref="L74:AF74"/>
    <mergeCell ref="J47:M47"/>
    <mergeCell ref="J73:AF73"/>
    <mergeCell ref="N43:AH43"/>
    <mergeCell ref="N46:AH46"/>
    <mergeCell ref="N47:AH47"/>
    <mergeCell ref="N48:AH48"/>
    <mergeCell ref="J75:K75"/>
    <mergeCell ref="AG75:AI75"/>
    <mergeCell ref="J46:M46"/>
    <mergeCell ref="J44:M44"/>
    <mergeCell ref="L77:AF77"/>
    <mergeCell ref="L76:AF76"/>
    <mergeCell ref="AG76:AI76"/>
    <mergeCell ref="AV92:AX92"/>
    <mergeCell ref="AY105:BA105"/>
    <mergeCell ref="AY93:BA93"/>
    <mergeCell ref="BB93:BD93"/>
    <mergeCell ref="AY107:BA107"/>
    <mergeCell ref="AY92:BA92"/>
    <mergeCell ref="BM77:BO77"/>
    <mergeCell ref="BH106:BI106"/>
    <mergeCell ref="BM105:BO105"/>
    <mergeCell ref="BM92:BO92"/>
    <mergeCell ref="BJ106:BL106"/>
    <mergeCell ref="BH91:BI91"/>
    <mergeCell ref="BJ91:BL91"/>
    <mergeCell ref="BE89:BI89"/>
    <mergeCell ref="BJ89:BL89"/>
    <mergeCell ref="BJ105:BL105"/>
    <mergeCell ref="BH93:BI93"/>
    <mergeCell ref="BJ93:BL93"/>
    <mergeCell ref="BE90:BF90"/>
    <mergeCell ref="BH92:BI92"/>
    <mergeCell ref="BJ92:BL92"/>
    <mergeCell ref="BM91:BO91"/>
    <mergeCell ref="BM90:BO90"/>
    <mergeCell ref="BE107:BF107"/>
    <mergeCell ref="BJ76:BL76"/>
    <mergeCell ref="BE77:BF77"/>
    <mergeCell ref="BH77:BI77"/>
    <mergeCell ref="BE92:BF92"/>
    <mergeCell ref="BE91:BF91"/>
    <mergeCell ref="BE76:BF76"/>
    <mergeCell ref="BJ77:BL77"/>
    <mergeCell ref="BB76:BD76"/>
    <mergeCell ref="BB106:BD106"/>
    <mergeCell ref="AY74:BA74"/>
    <mergeCell ref="AY75:BA75"/>
    <mergeCell ref="BE152:BI152"/>
    <mergeCell ref="BE147:BG147"/>
    <mergeCell ref="AY76:BA76"/>
    <mergeCell ref="AJ161:BD161"/>
    <mergeCell ref="AJ157:BD157"/>
    <mergeCell ref="N159:BD159"/>
    <mergeCell ref="N155:BD155"/>
    <mergeCell ref="BE160:BG160"/>
    <mergeCell ref="BH160:BI160"/>
    <mergeCell ref="BE155:BI155"/>
    <mergeCell ref="BE151:BG151"/>
    <mergeCell ref="BH151:BI151"/>
    <mergeCell ref="N147:AH147"/>
    <mergeCell ref="AJ147:BD147"/>
    <mergeCell ref="AJ148:BD148"/>
    <mergeCell ref="BH108:BI108"/>
    <mergeCell ref="BH107:BI107"/>
    <mergeCell ref="BE109:BF109"/>
    <mergeCell ref="AX112:AZ112"/>
    <mergeCell ref="AX111:AZ111"/>
    <mergeCell ref="AY109:BA109"/>
    <mergeCell ref="AV105:AX105"/>
    <mergeCell ref="AS105:AU105"/>
    <mergeCell ref="BA114:BC114"/>
    <mergeCell ref="AS114:AT114"/>
    <mergeCell ref="N152:AH152"/>
    <mergeCell ref="AJ152:BD152"/>
    <mergeCell ref="AS111:AW111"/>
    <mergeCell ref="AG109:AI109"/>
    <mergeCell ref="AG111:AI111"/>
    <mergeCell ref="AG112:AI112"/>
    <mergeCell ref="B120:BA120"/>
    <mergeCell ref="B122:BA122"/>
    <mergeCell ref="L106:AF106"/>
    <mergeCell ref="N151:AH151"/>
    <mergeCell ref="AJ151:BD151"/>
    <mergeCell ref="J108:K108"/>
    <mergeCell ref="BB108:BD108"/>
    <mergeCell ref="AG106:AI106"/>
    <mergeCell ref="AP106:AR106"/>
    <mergeCell ref="BB109:BD109"/>
    <mergeCell ref="AV106:AX106"/>
    <mergeCell ref="AJ111:AL111"/>
    <mergeCell ref="AG113:AI113"/>
    <mergeCell ref="AV113:AW113"/>
    <mergeCell ref="D142:E143"/>
    <mergeCell ref="BJ107:BL107"/>
    <mergeCell ref="BJ108:BL108"/>
    <mergeCell ref="D150:E150"/>
    <mergeCell ref="L166:AF166"/>
    <mergeCell ref="L167:AF167"/>
    <mergeCell ref="BE157:BI157"/>
    <mergeCell ref="BE156:BG156"/>
    <mergeCell ref="BH156:BI156"/>
    <mergeCell ref="AJ160:BD160"/>
    <mergeCell ref="AJ156:BD156"/>
    <mergeCell ref="N156:AH156"/>
    <mergeCell ref="N161:AH161"/>
    <mergeCell ref="N157:AH157"/>
    <mergeCell ref="BE161:BI161"/>
    <mergeCell ref="J160:M161"/>
    <mergeCell ref="J159:M159"/>
    <mergeCell ref="AV112:AW112"/>
    <mergeCell ref="AM112:AO112"/>
    <mergeCell ref="AP112:AR112"/>
    <mergeCell ref="BJ161:BM161"/>
    <mergeCell ref="BJ160:BM160"/>
    <mergeCell ref="BJ156:BM156"/>
    <mergeCell ref="BJ157:BM157"/>
    <mergeCell ref="BJ159:BM159"/>
    <mergeCell ref="BC116:BN117"/>
    <mergeCell ref="B117:BA117"/>
    <mergeCell ref="J156:M157"/>
    <mergeCell ref="AJ109:AL109"/>
    <mergeCell ref="AG108:AI108"/>
    <mergeCell ref="BE148:BI148"/>
    <mergeCell ref="BJ148:BM148"/>
    <mergeCell ref="D147:E148"/>
    <mergeCell ref="F147:I148"/>
    <mergeCell ref="J147:M148"/>
    <mergeCell ref="F146:I146"/>
    <mergeCell ref="J146:M146"/>
    <mergeCell ref="N146:BD146"/>
    <mergeCell ref="N148:AH148"/>
    <mergeCell ref="BM109:BO109"/>
    <mergeCell ref="BH109:BI109"/>
    <mergeCell ref="BJ155:BM155"/>
    <mergeCell ref="BJ151:BM151"/>
    <mergeCell ref="N142:AH142"/>
    <mergeCell ref="AJ142:BD142"/>
    <mergeCell ref="BH142:BI142"/>
    <mergeCell ref="AM109:AO109"/>
    <mergeCell ref="AP111:AR111"/>
    <mergeCell ref="B126:G126"/>
    <mergeCell ref="G38:I38"/>
    <mergeCell ref="G39:I39"/>
    <mergeCell ref="J43:M43"/>
    <mergeCell ref="J42:M42"/>
    <mergeCell ref="AJ41:BD41"/>
    <mergeCell ref="B56:BA56"/>
    <mergeCell ref="B58:BA58"/>
    <mergeCell ref="N45:AH45"/>
    <mergeCell ref="AW60:BA60"/>
    <mergeCell ref="D41:F41"/>
    <mergeCell ref="D47:F47"/>
    <mergeCell ref="D42:F42"/>
    <mergeCell ref="N49:AH49"/>
    <mergeCell ref="B49:C49"/>
    <mergeCell ref="G45:I45"/>
    <mergeCell ref="B46:C46"/>
    <mergeCell ref="B48:C48"/>
    <mergeCell ref="B45:C45"/>
    <mergeCell ref="G46:I46"/>
    <mergeCell ref="AI60:AM60"/>
    <mergeCell ref="AN60:AV60"/>
    <mergeCell ref="AJ44:BD44"/>
    <mergeCell ref="AJ43:BD43"/>
    <mergeCell ref="BH45:BI45"/>
    <mergeCell ref="AJ45:BD45"/>
    <mergeCell ref="BH35:BI35"/>
    <mergeCell ref="BH40:BI40"/>
    <mergeCell ref="BH36:BI36"/>
    <mergeCell ref="BH41:BI41"/>
    <mergeCell ref="BE39:BG39"/>
    <mergeCell ref="AJ36:BD36"/>
    <mergeCell ref="AJ37:BD37"/>
    <mergeCell ref="BH42:BI42"/>
    <mergeCell ref="BE45:BG45"/>
    <mergeCell ref="BH44:BI44"/>
    <mergeCell ref="BE44:BG44"/>
    <mergeCell ref="AJ108:AL108"/>
    <mergeCell ref="AM108:AO108"/>
    <mergeCell ref="AG107:AI107"/>
    <mergeCell ref="AJ106:AL106"/>
    <mergeCell ref="D141:E141"/>
    <mergeCell ref="F141:I141"/>
    <mergeCell ref="J141:M141"/>
    <mergeCell ref="N141:BD141"/>
    <mergeCell ref="J92:K92"/>
    <mergeCell ref="U126:V126"/>
    <mergeCell ref="X126:AB126"/>
    <mergeCell ref="AC126:AH126"/>
    <mergeCell ref="AI126:AM126"/>
    <mergeCell ref="AN126:AV126"/>
    <mergeCell ref="AG95:AI105"/>
    <mergeCell ref="AG93:AI93"/>
    <mergeCell ref="AJ93:AL93"/>
    <mergeCell ref="AJ95:AL105"/>
    <mergeCell ref="AJ92:AL92"/>
    <mergeCell ref="L107:AF107"/>
    <mergeCell ref="L108:AF108"/>
    <mergeCell ref="L113:AF113"/>
    <mergeCell ref="AP114:AR114"/>
    <mergeCell ref="B116:BA116"/>
    <mergeCell ref="B15:V15"/>
    <mergeCell ref="Y15:AS15"/>
    <mergeCell ref="Y18:AS18"/>
    <mergeCell ref="Y17:AS17"/>
    <mergeCell ref="M25:AG25"/>
    <mergeCell ref="M24:AG24"/>
    <mergeCell ref="M23:AG23"/>
    <mergeCell ref="M22:AG22"/>
    <mergeCell ref="Y19:AS19"/>
    <mergeCell ref="M21:AG21"/>
    <mergeCell ref="Y16:AS16"/>
    <mergeCell ref="G31:I31"/>
    <mergeCell ref="G35:I35"/>
    <mergeCell ref="B19:V19"/>
    <mergeCell ref="B18:V18"/>
    <mergeCell ref="B17:V17"/>
    <mergeCell ref="B16:V16"/>
    <mergeCell ref="AG92:AI92"/>
    <mergeCell ref="AJ79:AL89"/>
    <mergeCell ref="AM79:AO89"/>
    <mergeCell ref="N33:AH33"/>
    <mergeCell ref="N32:AH32"/>
    <mergeCell ref="AG63:AI73"/>
    <mergeCell ref="B53:BA53"/>
    <mergeCell ref="U60:V60"/>
    <mergeCell ref="X60:AB60"/>
    <mergeCell ref="AC60:AH60"/>
    <mergeCell ref="AS73:AU73"/>
    <mergeCell ref="D48:F48"/>
    <mergeCell ref="B32:C32"/>
    <mergeCell ref="J33:M33"/>
    <mergeCell ref="D44:F44"/>
    <mergeCell ref="AY73:BA73"/>
    <mergeCell ref="B39:C39"/>
    <mergeCell ref="B38:C38"/>
  </mergeCells>
  <conditionalFormatting sqref="N32:N49 N130 N134 N138 N142 N147 N151 N156 N160">
    <cfRule type="expression" priority="1" dxfId="70" stopIfTrue="1">
      <formula>AND(BE32&gt;BH32,BE32&lt;&gt;"",BH32&lt;&gt;"")</formula>
    </cfRule>
    <cfRule type="expression" priority="2" dxfId="69" stopIfTrue="1">
      <formula>AND(BE32=BH32,BE32&lt;&gt;"",BH32&lt;&gt;"")</formula>
    </cfRule>
    <cfRule type="expression" priority="3" dxfId="68" stopIfTrue="1">
      <formula>AND(BE32&lt;BH32,BE32&lt;&gt;"",BH32&lt;&gt;"")</formula>
    </cfRule>
  </conditionalFormatting>
  <conditionalFormatting sqref="AJ32:AJ49 AJ130 AJ134 AJ138 AJ142 AJ147 AJ151 AJ156 AJ160">
    <cfRule type="expression" priority="4" dxfId="67" stopIfTrue="1">
      <formula>AND(BH32&gt;BE32,BE32&lt;&gt;"",BH32&lt;&gt;"")</formula>
    </cfRule>
    <cfRule type="expression" priority="5" dxfId="66" stopIfTrue="1">
      <formula>AND(BH32=BE32,BE32&lt;&gt;"",BH32&lt;&gt;"")</formula>
    </cfRule>
    <cfRule type="expression" priority="6" dxfId="0" stopIfTrue="1">
      <formula>AND(BH32&lt;BE32,BE32&lt;&gt;"",BH32&lt;&gt;"")</formula>
    </cfRule>
  </conditionalFormatting>
  <conditionalFormatting sqref="BE156:BG156 BE160:BG160 BE151:BG151 BE130:BG130 BE134:BG134 BE138:BG138 BE142:BG142 BE147:BG147 BE32:BG49">
    <cfRule type="expression" priority="7" dxfId="62" stopIfTrue="1">
      <formula>AND(BH32&lt;&gt;"",ISBLANK(BE32))</formula>
    </cfRule>
    <cfRule type="expression" priority="8" dxfId="1" stopIfTrue="1">
      <formula>ISBLANK(BE32)</formula>
    </cfRule>
  </conditionalFormatting>
  <conditionalFormatting sqref="BH156:BI156 BH160:BI160 BH151:BI151 BH130:BI130 BH134:BI134 BH138:BI138 BH142:BI142 BH147:BI147 BH32:BI49">
    <cfRule type="expression" priority="9" dxfId="62" stopIfTrue="1">
      <formula>AND(BE32&lt;&gt;"",ISBLANK(BH32))</formula>
    </cfRule>
    <cfRule type="expression" priority="10" dxfId="1" stopIfTrue="1">
      <formula>ISBLANK(BH32)</formula>
    </cfRule>
  </conditionalFormatting>
  <conditionalFormatting sqref="AM132:AQ132 AM136:AQ136 AM140:AQ140 AM144:AQ145 AM153:AQ153 AI126:AM127 AM128:AQ128">
    <cfRule type="expression" priority="11" dxfId="1" stopIfTrue="1">
      <formula>AND($U$126=2,ISBLANK($AI$126))</formula>
    </cfRule>
    <cfRule type="cellIs" priority="12" dxfId="59" operator="equal" stopIfTrue="1">
      <formula>0</formula>
    </cfRule>
    <cfRule type="expression" priority="13" dxfId="0" stopIfTrue="1">
      <formula>$AC$126=""</formula>
    </cfRule>
  </conditionalFormatting>
  <conditionalFormatting sqref="L103:L104 AS103:BO104 L78:L88 AS78:BO88 AG77:BO77">
    <cfRule type="expression" priority="14" dxfId="0" stopIfTrue="1">
      <formula>$J$77=""</formula>
    </cfRule>
  </conditionalFormatting>
  <conditionalFormatting sqref="AG112:BC112 L112">
    <cfRule type="expression" priority="15" dxfId="0" stopIfTrue="1">
      <formula>$J$113=""</formula>
    </cfRule>
  </conditionalFormatting>
  <conditionalFormatting sqref="AG113:BC113 L113">
    <cfRule type="expression" priority="16" dxfId="0" stopIfTrue="1">
      <formula>$J$113=""</formula>
    </cfRule>
    <cfRule type="expression" priority="17" dxfId="0" stopIfTrue="1">
      <formula>$J$114=""</formula>
    </cfRule>
  </conditionalFormatting>
  <conditionalFormatting sqref="AG114:BC114 CR112:DN112 F95:F103 L114">
    <cfRule type="expression" priority="18" dxfId="0" stopIfTrue="1">
      <formula>$J$114=""</formula>
    </cfRule>
  </conditionalFormatting>
  <conditionalFormatting sqref="AG110:BC110 L110 AG109:BO109">
    <cfRule type="expression" priority="19" dxfId="0" stopIfTrue="1">
      <formula>$J$109=""</formula>
    </cfRule>
  </conditionalFormatting>
  <conditionalFormatting sqref="L106:AF106">
    <cfRule type="expression" priority="20" dxfId="4" stopIfTrue="1">
      <formula>$AS$106=""</formula>
    </cfRule>
    <cfRule type="expression" priority="21" dxfId="0" stopIfTrue="1">
      <formula>$J$107=""</formula>
    </cfRule>
  </conditionalFormatting>
  <conditionalFormatting sqref="L107:AF107">
    <cfRule type="expression" priority="22" dxfId="4" stopIfTrue="1">
      <formula>$AS$107=""</formula>
    </cfRule>
    <cfRule type="expression" priority="23" dxfId="0" stopIfTrue="1">
      <formula>$J$107=""</formula>
    </cfRule>
    <cfRule type="expression" priority="24" dxfId="0" stopIfTrue="1">
      <formula>$J$108=""</formula>
    </cfRule>
  </conditionalFormatting>
  <conditionalFormatting sqref="L108:AF108">
    <cfRule type="expression" priority="25" dxfId="4" stopIfTrue="1">
      <formula>$AS$108=""</formula>
    </cfRule>
    <cfRule type="expression" priority="26" dxfId="0" stopIfTrue="1">
      <formula>$J$108=""</formula>
    </cfRule>
    <cfRule type="expression" priority="27" dxfId="0" stopIfTrue="1">
      <formula>$J$109=""</formula>
    </cfRule>
  </conditionalFormatting>
  <conditionalFormatting sqref="L109:AF109">
    <cfRule type="expression" priority="28" dxfId="4" stopIfTrue="1">
      <formula>$AS$109=""</formula>
    </cfRule>
    <cfRule type="expression" priority="29" dxfId="0" stopIfTrue="1">
      <formula>$J$109=""</formula>
    </cfRule>
  </conditionalFormatting>
  <conditionalFormatting sqref="AS95:BO102 L95:L102 BU113 DB113:DW113 DX92 CO67:DW91 CQ62:DY66 AG93:BO93">
    <cfRule type="expression" priority="30" dxfId="0" stopIfTrue="1">
      <formula>$J$93=""</formula>
    </cfRule>
  </conditionalFormatting>
  <conditionalFormatting sqref="J106:K109">
    <cfRule type="expression" priority="31" dxfId="2" stopIfTrue="1">
      <formula>Druckversion!#REF!&lt;&gt;Druckversion!#REF!</formula>
    </cfRule>
  </conditionalFormatting>
  <conditionalFormatting sqref="J112:K114">
    <cfRule type="expression" priority="32" dxfId="2" stopIfTrue="1">
      <formula>Druckversion!#REF!&lt;&gt;Druckversion!#REF!</formula>
    </cfRule>
  </conditionalFormatting>
  <conditionalFormatting sqref="AG106:BO106">
    <cfRule type="expression" priority="33" dxfId="0" stopIfTrue="1">
      <formula>$J$107=""</formula>
    </cfRule>
  </conditionalFormatting>
  <conditionalFormatting sqref="AG107:BO107">
    <cfRule type="expression" priority="34" dxfId="0" stopIfTrue="1">
      <formula>$J$107=""</formula>
    </cfRule>
    <cfRule type="expression" priority="35" dxfId="0" stopIfTrue="1">
      <formula>$J$108=""</formula>
    </cfRule>
  </conditionalFormatting>
  <conditionalFormatting sqref="AG108:BO108">
    <cfRule type="expression" priority="36" dxfId="0" stopIfTrue="1">
      <formula>$J$108=""</formula>
    </cfRule>
    <cfRule type="expression" priority="37" dxfId="0" stopIfTrue="1">
      <formula>$J$109=""</formula>
    </cfRule>
  </conditionalFormatting>
  <conditionalFormatting sqref="L90:AF90">
    <cfRule type="expression" priority="38" dxfId="4" stopIfTrue="1">
      <formula>$AS$90=""</formula>
    </cfRule>
    <cfRule type="expression" priority="39" dxfId="0" stopIfTrue="1">
      <formula>$J$91=""</formula>
    </cfRule>
  </conditionalFormatting>
  <conditionalFormatting sqref="L91:AF91">
    <cfRule type="expression" priority="40" dxfId="4" stopIfTrue="1">
      <formula>$AS$91=""</formula>
    </cfRule>
    <cfRule type="expression" priority="41" dxfId="0" stopIfTrue="1">
      <formula>$J$91=""</formula>
    </cfRule>
    <cfRule type="expression" priority="42" dxfId="0" stopIfTrue="1">
      <formula>$J$92=""</formula>
    </cfRule>
  </conditionalFormatting>
  <conditionalFormatting sqref="L92:AF92">
    <cfRule type="expression" priority="43" dxfId="4" stopIfTrue="1">
      <formula>$AS$92=""</formula>
    </cfRule>
    <cfRule type="expression" priority="44" dxfId="0" stopIfTrue="1">
      <formula>$J$92=""</formula>
    </cfRule>
    <cfRule type="expression" priority="45" dxfId="0" stopIfTrue="1">
      <formula>$J$93=""</formula>
    </cfRule>
  </conditionalFormatting>
  <conditionalFormatting sqref="L74:AF74">
    <cfRule type="expression" priority="46" dxfId="4" stopIfTrue="1">
      <formula>$AS$74=""</formula>
    </cfRule>
    <cfRule type="expression" priority="47" dxfId="0" stopIfTrue="1">
      <formula>$J$75=""</formula>
    </cfRule>
  </conditionalFormatting>
  <conditionalFormatting sqref="L75:AF75">
    <cfRule type="expression" priority="48" dxfId="4" stopIfTrue="1">
      <formula>$AS$75=""</formula>
    </cfRule>
    <cfRule type="expression" priority="49" dxfId="0" stopIfTrue="1">
      <formula>$J$75=""</formula>
    </cfRule>
    <cfRule type="expression" priority="50" dxfId="0" stopIfTrue="1">
      <formula>$J$76=""</formula>
    </cfRule>
  </conditionalFormatting>
  <conditionalFormatting sqref="L76:AF76">
    <cfRule type="expression" priority="51" dxfId="4" stopIfTrue="1">
      <formula>$AS$76=""</formula>
    </cfRule>
    <cfRule type="expression" priority="52" dxfId="0" stopIfTrue="1">
      <formula>$J$76=""</formula>
    </cfRule>
    <cfRule type="expression" priority="53" dxfId="0" stopIfTrue="1">
      <formula>$J$77=""</formula>
    </cfRule>
  </conditionalFormatting>
  <conditionalFormatting sqref="L77:AF77">
    <cfRule type="expression" priority="54" dxfId="4" stopIfTrue="1">
      <formula>$AS$77=""</formula>
    </cfRule>
    <cfRule type="expression" priority="55" dxfId="0" stopIfTrue="1">
      <formula>$J$77=""</formula>
    </cfRule>
  </conditionalFormatting>
  <conditionalFormatting sqref="J74:K77">
    <cfRule type="expression" priority="56" dxfId="2" stopIfTrue="1">
      <formula>Druckversion!#REF!&lt;&gt;Druckversion!#REF!</formula>
    </cfRule>
  </conditionalFormatting>
  <conditionalFormatting sqref="AG74:BO74">
    <cfRule type="expression" priority="57" dxfId="0" stopIfTrue="1">
      <formula>$J$75=""</formula>
    </cfRule>
  </conditionalFormatting>
  <conditionalFormatting sqref="AG75:BO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AG76:BO76">
    <cfRule type="expression" priority="60" dxfId="0" stopIfTrue="1">
      <formula>$J$76=""</formula>
    </cfRule>
    <cfRule type="expression" priority="61" dxfId="0" stopIfTrue="1">
      <formula>$J$77=""</formula>
    </cfRule>
  </conditionalFormatting>
  <conditionalFormatting sqref="AG90:BO90">
    <cfRule type="expression" priority="62" dxfId="0" stopIfTrue="1">
      <formula>$J$91=""</formula>
    </cfRule>
  </conditionalFormatting>
  <conditionalFormatting sqref="AG91:BO91">
    <cfRule type="expression" priority="63" dxfId="0" stopIfTrue="1">
      <formula>$J$91=""</formula>
    </cfRule>
    <cfRule type="expression" priority="64" dxfId="0" stopIfTrue="1">
      <formula>$J$92=""</formula>
    </cfRule>
  </conditionalFormatting>
  <conditionalFormatting sqref="AG92:BO92">
    <cfRule type="expression" priority="65" dxfId="0" stopIfTrue="1">
      <formula>$J$92=""</formula>
    </cfRule>
    <cfRule type="expression" priority="66" dxfId="0" stopIfTrue="1">
      <formula>$J$93=""</formula>
    </cfRule>
  </conditionalFormatting>
  <conditionalFormatting sqref="BT67:CN91 BV62:CP66 L93:AF93">
    <cfRule type="expression" priority="67" dxfId="4" stopIfTrue="1">
      <formula>$AS$93=""</formula>
    </cfRule>
    <cfRule type="expression" priority="68" dxfId="0" stopIfTrue="1">
      <formula>$J$93=""</formula>
    </cfRule>
  </conditionalFormatting>
  <conditionalFormatting sqref="BR67:BS91 BT62:BU66 J90:K93">
    <cfRule type="expression" priority="69" dxfId="2" stopIfTrue="1">
      <formula>Druckversion!#REF!&lt;&gt;Druckversion!#REF!</formula>
    </cfRule>
  </conditionalFormatting>
  <conditionalFormatting sqref="AI10:AM10 AI60:AM60">
    <cfRule type="expression" priority="70" dxfId="1" stopIfTrue="1">
      <formula>AND($U$10=2,ISBLANK($AI$10))</formula>
    </cfRule>
    <cfRule type="expression" priority="71" dxfId="0" stopIfTrue="1">
      <formula>$AC$10=""</formula>
    </cfRule>
  </conditionalFormatting>
  <dataValidations count="3">
    <dataValidation type="whole" operator="greaterThanOrEqual" allowBlank="1" showErrorMessage="1" errorTitle="Fehler" error="Nur Zahlen eingeben!" sqref="AB153:AF153 AB144:AF145 AM144:AQ145 AM140:AQ140 BA140:BE140 AB140:AF140 AM136:AQ136 BA136:BE136 AB136:AF136 AB132:AF132 AM132:AQ132 BA132:BE132 BA144:BE145 BA153:BE153 AM153:AQ153 BE32:BI49 X10:AB10 AW10:BA10 X60:AB60 AW60:BA60 X126:AB127 AW126:BA127 AI126:AM127 AM128:AQ128 AB128:AF128 BA128:BE128">
      <formula1>0</formula1>
    </dataValidation>
    <dataValidation type="list" allowBlank="1" showInputMessage="1" showErrorMessage="1" sqref="Y153:Z153 Y144:Z145 Y132:Z132 Y136:Z136 Y140:Z140 U127:V127 Y128:Z128">
      <formula1>$B$32:$B$33</formula1>
    </dataValidation>
    <dataValidation type="list" allowBlank="1" showInputMessage="1" showErrorMessage="1" sqref="BL62:BO62">
      <formula1>$B$63:$B$69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0" r:id="rId1"/>
  <rowBreaks count="3" manualBreakCount="3">
    <brk id="50" max="68" man="1"/>
    <brk id="114" max="68" man="1"/>
    <brk id="1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X10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6384" width="5.57421875" style="138" customWidth="1"/>
  </cols>
  <sheetData>
    <row r="1" spans="67:154" s="3" customFormat="1" ht="15"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4"/>
      <c r="CA1" s="5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70"/>
      <c r="DT1" s="70"/>
      <c r="DU1" s="70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154" s="3" customFormat="1" ht="15">
      <c r="A2" s="88"/>
      <c r="B2" s="109" t="s">
        <v>6</v>
      </c>
      <c r="C2" s="5"/>
      <c r="D2" s="5"/>
      <c r="E2" s="5"/>
      <c r="F2" s="5"/>
      <c r="G2" s="5"/>
      <c r="H2" s="5"/>
      <c r="I2" s="5"/>
      <c r="J2" s="5"/>
      <c r="K2" s="85"/>
      <c r="L2" s="85"/>
      <c r="M2" s="5"/>
      <c r="N2" s="5"/>
      <c r="O2" s="32"/>
      <c r="P2" s="32"/>
      <c r="Q2" s="32"/>
      <c r="R2" s="32"/>
      <c r="S2" s="32"/>
      <c r="T2" s="32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4"/>
      <c r="CA2" s="5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4"/>
      <c r="ES2" s="4"/>
      <c r="ET2" s="4"/>
      <c r="EU2" s="4"/>
      <c r="EV2" s="4"/>
      <c r="EW2" s="4"/>
      <c r="EX2" s="4"/>
    </row>
    <row r="3" spans="1:154" s="67" customFormat="1" ht="12.75">
      <c r="A3" s="3"/>
      <c r="B3" s="5"/>
      <c r="C3" s="71">
        <v>1</v>
      </c>
      <c r="D3" s="71">
        <v>2</v>
      </c>
      <c r="E3" s="71">
        <v>3</v>
      </c>
      <c r="F3" s="86">
        <v>4</v>
      </c>
      <c r="G3" s="86">
        <v>5</v>
      </c>
      <c r="H3" s="86">
        <v>6</v>
      </c>
      <c r="I3" s="86">
        <v>7</v>
      </c>
      <c r="J3" s="86">
        <v>8</v>
      </c>
      <c r="K3" s="86">
        <v>9</v>
      </c>
      <c r="L3" s="87">
        <v>10</v>
      </c>
      <c r="M3" s="87">
        <v>11</v>
      </c>
      <c r="N3" s="87">
        <v>12</v>
      </c>
      <c r="O3" s="87">
        <v>13</v>
      </c>
      <c r="P3" s="32"/>
      <c r="Q3" s="32"/>
      <c r="R3" s="32"/>
      <c r="S3" s="32"/>
      <c r="T3" s="32"/>
      <c r="U3" s="3"/>
      <c r="V3" s="4"/>
      <c r="W3" s="71"/>
      <c r="X3" s="71"/>
      <c r="Y3" s="71"/>
      <c r="Z3" s="86"/>
      <c r="AA3" s="86"/>
      <c r="AB3" s="86"/>
      <c r="AC3" s="86"/>
      <c r="AD3" s="86"/>
      <c r="AE3" s="86"/>
      <c r="AF3" s="87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4"/>
      <c r="BT3" s="5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70"/>
      <c r="ES3" s="70"/>
      <c r="ET3" s="70"/>
      <c r="EU3" s="70"/>
      <c r="EV3" s="70"/>
      <c r="EW3" s="70"/>
      <c r="EX3" s="70"/>
    </row>
    <row r="4" spans="2:154" s="3" customFormat="1" ht="97.5">
      <c r="B4" s="32"/>
      <c r="C4" s="5"/>
      <c r="D4" s="5"/>
      <c r="E4" s="5"/>
      <c r="F4" s="5"/>
      <c r="G4" s="32" t="s">
        <v>37</v>
      </c>
      <c r="H4" s="32" t="s">
        <v>16</v>
      </c>
      <c r="I4" s="5" t="s">
        <v>38</v>
      </c>
      <c r="J4" s="5" t="s">
        <v>39</v>
      </c>
      <c r="K4" s="32"/>
      <c r="L4" s="5" t="s">
        <v>40</v>
      </c>
      <c r="M4" s="5" t="s">
        <v>20</v>
      </c>
      <c r="N4" s="5" t="s">
        <v>21</v>
      </c>
      <c r="O4" s="5" t="s">
        <v>22</v>
      </c>
      <c r="P4" s="32"/>
      <c r="Q4" s="110" t="s">
        <v>23</v>
      </c>
      <c r="R4" s="111" t="str">
        <f>Q5</f>
        <v>SV Rosellen 3</v>
      </c>
      <c r="S4" s="111" t="str">
        <f>Q6</f>
        <v>DSC 99 Düsseldorf</v>
      </c>
      <c r="T4" s="111" t="str">
        <f>Q7</f>
        <v>TuS Hackenbroich</v>
      </c>
      <c r="U4" s="111" t="str">
        <f>Q8</f>
        <v>DJK Viktoria Frechen</v>
      </c>
      <c r="V4" s="112"/>
      <c r="W4" s="110" t="s">
        <v>38</v>
      </c>
      <c r="X4" s="111" t="str">
        <f>W5</f>
        <v>SV Rosellen 3</v>
      </c>
      <c r="Y4" s="111" t="str">
        <f>W6</f>
        <v>DSC 99 Düsseldorf</v>
      </c>
      <c r="Z4" s="111" t="str">
        <f>W7</f>
        <v>TuS Hackenbroich</v>
      </c>
      <c r="AA4" s="111" t="str">
        <f>W8</f>
        <v>DJK Viktoria Frechen</v>
      </c>
      <c r="AB4" s="112"/>
      <c r="AC4" s="112"/>
      <c r="AD4" s="112"/>
      <c r="AE4" s="112"/>
      <c r="AF4" s="112"/>
      <c r="AG4" s="113"/>
      <c r="AH4" s="114"/>
      <c r="AI4" s="114"/>
      <c r="AJ4" s="115"/>
      <c r="AK4" s="116" t="e">
        <f>MATCH(1,AD5:AD8,0)</f>
        <v>#N/A</v>
      </c>
      <c r="AL4" s="60"/>
      <c r="AM4" s="117"/>
      <c r="AN4" s="117"/>
      <c r="AO4" s="117"/>
      <c r="AP4" s="115"/>
      <c r="AQ4" s="118" t="e">
        <f ca="1">MATCH(1,OFFSET($AD$5:$AD$8,AK4,0),0)+AK4</f>
        <v>#N/A</v>
      </c>
      <c r="AR4" s="117"/>
      <c r="AS4" s="117"/>
      <c r="AT4" s="117"/>
      <c r="AU4" s="117"/>
      <c r="AV4" s="118" t="e">
        <f ca="1">MATCH(1,OFFSET($AD$5:$AD$8,AQ4,0),0)+AQ4</f>
        <v>#N/A</v>
      </c>
      <c r="AW4" s="117"/>
      <c r="AX4" s="117"/>
      <c r="AY4" s="117"/>
      <c r="BS4" s="4"/>
      <c r="BT4" s="5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</row>
    <row r="5" spans="2:154" s="3" customFormat="1" ht="14.25">
      <c r="B5" s="32">
        <v>1</v>
      </c>
      <c r="C5" s="5">
        <f>RANK(D5,$D$5:$D$8,1)</f>
        <v>1</v>
      </c>
      <c r="D5" s="5">
        <f>E5+ROW()/1000</f>
        <v>1.005</v>
      </c>
      <c r="E5" s="5">
        <f>RANK(K5,$K$5:$K$8)</f>
        <v>1</v>
      </c>
      <c r="F5" s="32" t="str">
        <f>VLOOKUP(B5,Ergebniseingabe!$A$16:$V$19,2,0)</f>
        <v>SV Rosellen 3</v>
      </c>
      <c r="G5" s="32">
        <f>SUMPRODUCT((F5=Ergebniseingabe!$N$31:$AH$48)*(Ergebniseingabe!$BE$31:$BE$48))+SUMPRODUCT((F5=Ergebniseingabe!$AJ$31:$BD$48)*(Ergebniseingabe!$BH$31:$BH$48))</f>
        <v>0</v>
      </c>
      <c r="H5" s="32">
        <f>SUMPRODUCT((F5=Ergebniseingabe!$N$31:$AH$48)*(Ergebniseingabe!$BH$31:$BH$48))+SUMPRODUCT((F5=Ergebniseingabe!$AJ$31:$BD$48)*(Ergebniseingabe!$BE$31:$BE$48))</f>
        <v>0</v>
      </c>
      <c r="I5" s="32">
        <f>(SUMPRODUCT((F5=Ergebniseingabe!$N$31:$AH$48)*((Ergebniseingabe!$BE$31:$BE$48)&gt;(Ergebniseingabe!$BH$31:$BH$48)))+SUMPRODUCT((F5=Ergebniseingabe!$AJ$31:$BD$48)*((Ergebniseingabe!$BH$31:$BH$48)&gt;(Ergebniseingabe!$BE$31:$BE$48))))*3+SUMPRODUCT(((F5=Ergebniseingabe!$N$31:$AH$48)+(F5=Ergebniseingabe!$AJ$31:$BD$48))*((Ergebniseingabe!$BH$31:$BH$48)=(Ergebniseingabe!$BE$31:$BE$48))*NOT(ISBLANK(Ergebniseingabe!$BE$31:$BE$48)))</f>
        <v>0</v>
      </c>
      <c r="J5" s="65">
        <f>G5-H5</f>
        <v>0</v>
      </c>
      <c r="K5" s="137">
        <f>AC5+AI5+AO5</f>
        <v>0</v>
      </c>
      <c r="L5" s="32">
        <f>SUMPRODUCT((Ergebniseingabe!$N$31:$AH$48=F5)*(Ergebniseingabe!$BE$31:$BE$48&lt;&gt;""))+SUMPRODUCT((Ergebniseingabe!$AJ$31:$BD$48=F5)*(Ergebniseingabe!$BH$31:$BH$48&lt;&gt;""))</f>
        <v>0</v>
      </c>
      <c r="M5" s="32">
        <f>SUMPRODUCT((Ergebniseingabe!$N$31:$AH$48=F5)*(Ergebniseingabe!$BE$31:$BE$48&gt;Ergebniseingabe!$BH$31:$BH$48))+SUMPRODUCT((Ergebniseingabe!$AJ$31:$BD$48=F5)*(Ergebniseingabe!$BE$31:$BE$48&lt;Ergebniseingabe!$BH$31:$BH$48))</f>
        <v>0</v>
      </c>
      <c r="N5" s="32">
        <f>SUMPRODUCT((Ergebniseingabe!$N$31:$BD$48=F5)*(Ergebniseingabe!$BE$31:$BE$48=Ergebniseingabe!$BH$31:$BH$48)*(Ergebniseingabe!$BE$31:$BE$48&lt;&gt;"")*(Ergebniseingabe!$BH$31:$BH$48&lt;&gt;""))</f>
        <v>0</v>
      </c>
      <c r="O5" s="32">
        <f>SUMPRODUCT((Ergebniseingabe!$N$31:$AH$48=F5)*(Ergebniseingabe!$BE$31:$BE$48&lt;Ergebniseingabe!$BH$31:$BH$48))+SUMPRODUCT((Ergebniseingabe!$AJ$31:$BD$48=F5)*(Ergebniseingabe!$BE$31:$BE$48&gt;Ergebniseingabe!$BH$31:$BH$48))</f>
        <v>0</v>
      </c>
      <c r="P5" s="32"/>
      <c r="Q5" s="119" t="str">
        <f>$F$5</f>
        <v>SV Rosellen 3</v>
      </c>
      <c r="R5" s="120"/>
      <c r="S5" s="121">
        <f>IF(AND(Q5&amp;$S$4=VLOOKUP(Q5&amp;$S$4,$C$44:$H$79,1,0),VLOOKUP(Q5&amp;$S$4,$C$44:$H$79,6,0)&lt;&gt;""),VLOOKUP(Q5&amp;$S$4,$C$44:$H$79,6,0),)</f>
        <v>0</v>
      </c>
      <c r="T5" s="121">
        <f>IF(AND(Q5&amp;$T$4=VLOOKUP(Q5&amp;$T$4,$C$44:$H$79,1,0),VLOOKUP(Q5&amp;$T$4,$C$44:$H$79,6,0)&lt;&gt;""),VLOOKUP(Q5&amp;$T$4,$C$44:$H$79,6,0),)</f>
        <v>0</v>
      </c>
      <c r="U5" s="121">
        <f>IF(AND(Q5&amp;$U$4=VLOOKUP(Q5&amp;$U$4,$C$44:$H$79,1,0),VLOOKUP(Q5&amp;$U$4,$C$44:$H$79,6,0)&lt;&gt;""),VLOOKUP(Q5&amp;$U$4,$C$44:$H$79,6,0),)</f>
        <v>0</v>
      </c>
      <c r="V5" s="112"/>
      <c r="W5" s="119" t="str">
        <f>Q5</f>
        <v>SV Rosellen 3</v>
      </c>
      <c r="X5" s="120"/>
      <c r="Y5" s="121">
        <f>IF(AND(ISNUMBER(S5),ISNUMBER(R6)),IF(S5&gt;R6,3,IF(S5=R6,1,0)),0)</f>
        <v>1</v>
      </c>
      <c r="Z5" s="121">
        <f>IF(AND(ISNUMBER(T5),ISNUMBER(R7)),IF(T5&gt;R7,3,IF(T5=R7,1,0)),0)</f>
        <v>1</v>
      </c>
      <c r="AA5" s="121">
        <f>IF(AND(ISNUMBER(U5),ISNUMBER(R8)),IF(U5&gt;R8,3,IF(U5=R8,1,0)),0)</f>
        <v>1</v>
      </c>
      <c r="AB5" s="112"/>
      <c r="AC5" s="122">
        <f>I5*100000+J5*1000+G5</f>
        <v>0</v>
      </c>
      <c r="AD5" s="122">
        <f>COUNTIF(AC5:AC8,AC5)</f>
        <v>4</v>
      </c>
      <c r="AE5" s="122">
        <f>IF(AD5=1,"x","")</f>
      </c>
      <c r="AF5" s="112"/>
      <c r="AG5" s="123">
        <f>IF(AE5="x",1,IF(AC6=AC5,2,IF(AC7=AC5,3,4)))</f>
        <v>2</v>
      </c>
      <c r="AH5" s="116">
        <f>INDEX(X5:AA5,1,AG5)</f>
        <v>1</v>
      </c>
      <c r="AI5" s="124">
        <f>IF(OR($AD$9=2,$AD$9=4),AH5/10,0)</f>
        <v>0</v>
      </c>
      <c r="AJ5" s="115"/>
      <c r="AK5" s="125"/>
      <c r="AL5" s="116" t="e">
        <f>I5-INDEX(X5:AA5,1,$AK$4)-AR5-AW5</f>
        <v>#N/A</v>
      </c>
      <c r="AM5" s="116" t="e">
        <f>J5-INDEX(R5:U5,1,AK4)-INDEX(R5:R8,AK4,1)-ABS(AS5)-ABS(AX5)</f>
        <v>#N/A</v>
      </c>
      <c r="AN5" s="116" t="e">
        <f>G5-INDEX(R5:U5,1,$AK$4)-AT5-AY5</f>
        <v>#N/A</v>
      </c>
      <c r="AO5" s="126">
        <f>IF(OR($AD$9&lt;&gt;3,AE5="x"),0,AL5/10+AM5/1000+AN5/100000)</f>
        <v>0</v>
      </c>
      <c r="AP5" s="115"/>
      <c r="AQ5" s="127"/>
      <c r="AR5" s="116">
        <f>IF(ISNA($AQ$4),0,INDEX(X5:AA5,1,$AQ$4))</f>
        <v>0</v>
      </c>
      <c r="AS5" s="116">
        <f>IF(ISNA($AQ$4),0,(INDEX(R5:U5,1,AQ4)-INDEX(R5:R8,AQ4,1)))</f>
        <v>0</v>
      </c>
      <c r="AT5" s="116">
        <f>IF(ISNA($AQ$4),0,INDEX(R5:U5,1,$AQ$4))</f>
        <v>0</v>
      </c>
      <c r="AU5" s="114"/>
      <c r="AV5" s="127"/>
      <c r="AW5" s="116">
        <f>IF(ISNA($AV$4),0,INDEX(X5:AA5,1,$AV$4))</f>
        <v>0</v>
      </c>
      <c r="AX5" s="116">
        <f>IF(ISNA($AV$4),0,(INDEX(R5:U5,1,AV4)-INDEX(R5:R8,AV4,1)))</f>
        <v>0</v>
      </c>
      <c r="AY5" s="116">
        <f>IF(ISNA($AV$4),0,INDEX(R5:U5,1,$AV$4))</f>
        <v>0</v>
      </c>
      <c r="BO5" s="68"/>
      <c r="BP5" s="68"/>
      <c r="BQ5" s="68"/>
      <c r="BR5" s="68"/>
      <c r="BS5" s="68"/>
      <c r="BT5" s="68"/>
      <c r="BU5" s="68"/>
      <c r="BV5" s="68"/>
      <c r="BW5" s="69"/>
      <c r="BX5" s="69"/>
      <c r="BY5" s="69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</row>
    <row r="6" spans="2:154" s="3" customFormat="1" ht="12.75">
      <c r="B6" s="32">
        <v>2</v>
      </c>
      <c r="C6" s="5">
        <f>RANK(D6,$D$5:$D$8,1)</f>
        <v>2</v>
      </c>
      <c r="D6" s="5">
        <f>E6+ROW()/1000</f>
        <v>1.006</v>
      </c>
      <c r="E6" s="5">
        <f>RANK(K6,$K$5:$K$8)</f>
        <v>1</v>
      </c>
      <c r="F6" s="32" t="str">
        <f>VLOOKUP(B6,Ergebniseingabe!$A$16:$V$19,2,0)</f>
        <v>DSC 99 Düsseldorf</v>
      </c>
      <c r="G6" s="32">
        <f>SUMPRODUCT((F6=Ergebniseingabe!$N$31:$AH$48)*(Ergebniseingabe!$BE$31:$BE$48))+SUMPRODUCT((F6=Ergebniseingabe!$AJ$31:$BD$48)*(Ergebniseingabe!$BH$31:$BH$48))</f>
        <v>0</v>
      </c>
      <c r="H6" s="32">
        <f>SUMPRODUCT((F6=Ergebniseingabe!$N$31:$AH$48)*(Ergebniseingabe!$BH$31:$BH$48))+SUMPRODUCT((F6=Ergebniseingabe!$AJ$31:$BD$48)*(Ergebniseingabe!$BE$31:$BE$48))</f>
        <v>0</v>
      </c>
      <c r="I6" s="32">
        <f>(SUMPRODUCT((F6=Ergebniseingabe!$N$31:$AH$48)*((Ergebniseingabe!$BE$31:$BE$48)&gt;(Ergebniseingabe!$BH$31:$BH$48)))+SUMPRODUCT((F6=Ergebniseingabe!$AJ$31:$BD$48)*((Ergebniseingabe!$BH$31:$BH$48)&gt;(Ergebniseingabe!$BE$31:$BE$48))))*3+SUMPRODUCT(((F6=Ergebniseingabe!$N$31:$AH$48)+(F6=Ergebniseingabe!$AJ$31:$BD$48))*((Ergebniseingabe!$BH$31:$BH$48)=(Ergebniseingabe!$BE$31:$BE$48))*NOT(ISBLANK(Ergebniseingabe!$BE$31:$BE$48)))</f>
        <v>0</v>
      </c>
      <c r="J6" s="65">
        <f>G6-H6</f>
        <v>0</v>
      </c>
      <c r="K6" s="137">
        <f>AC6+AI6+AO6</f>
        <v>0</v>
      </c>
      <c r="L6" s="32">
        <f>SUMPRODUCT((Ergebniseingabe!$N$31:$AH$48=F6)*(Ergebniseingabe!$BE$31:$BE$48&lt;&gt;""))+SUMPRODUCT((Ergebniseingabe!$AJ$31:$BD$48=F6)*(Ergebniseingabe!$BH$31:$BH$48&lt;&gt;""))</f>
        <v>0</v>
      </c>
      <c r="M6" s="32">
        <f>SUMPRODUCT((Ergebniseingabe!$N$31:$AH$48=F6)*(Ergebniseingabe!$BE$31:$BE$48&gt;Ergebniseingabe!$BH$31:$BH$48))+SUMPRODUCT((Ergebniseingabe!$AJ$31:$BD$48=F6)*(Ergebniseingabe!$BE$31:$BE$48&lt;Ergebniseingabe!$BH$31:$BH$48))</f>
        <v>0</v>
      </c>
      <c r="N6" s="32">
        <f>SUMPRODUCT((Ergebniseingabe!$N$31:$BD$48=F6)*(Ergebniseingabe!$BE$31:$BE$48=Ergebniseingabe!$BH$31:$BH$48)*(Ergebniseingabe!$BE$31:$BE$48&lt;&gt;"")*(Ergebniseingabe!$BH$31:$BH$48&lt;&gt;""))</f>
        <v>0</v>
      </c>
      <c r="O6" s="32">
        <f>SUMPRODUCT((Ergebniseingabe!$N$31:$AH$48=F6)*(Ergebniseingabe!$BE$31:$BE$48&lt;Ergebniseingabe!$BH$31:$BH$48))+SUMPRODUCT((Ergebniseingabe!$AJ$31:$BD$48=F6)*(Ergebniseingabe!$BE$31:$BE$48&gt;Ergebniseingabe!$BH$31:$BH$48))</f>
        <v>0</v>
      </c>
      <c r="P6" s="32"/>
      <c r="Q6" s="119" t="str">
        <f>$F$6</f>
        <v>DSC 99 Düsseldorf</v>
      </c>
      <c r="R6" s="121">
        <f>IF(AND(Q6&amp;$R$4=VLOOKUP(Q6&amp;$R$4,$C$44:$H$79,1,0),VLOOKUP(Q6&amp;$R$4,$C$44:$H$79,6,0)&lt;&gt;""),VLOOKUP(Q6&amp;$R$4,$C$44:$H$79,6,0),)</f>
        <v>0</v>
      </c>
      <c r="S6" s="120"/>
      <c r="T6" s="121">
        <f>IF(AND(Q6&amp;$T$4=VLOOKUP(Q6&amp;$T$4,$C$44:$H$79,1,0),VLOOKUP(Q6&amp;$T$4,$C$44:$H$79,6,0)&lt;&gt;""),VLOOKUP(Q6&amp;$T$4,$C$44:$H$79,6,0),)</f>
        <v>0</v>
      </c>
      <c r="U6" s="121">
        <f>IF(AND(Q6&amp;$U$4=VLOOKUP(Q6&amp;$U$4,$C$44:$H$79,1,0),VLOOKUP(Q6&amp;$U$4,$C$44:$H$79,6,0)&lt;&gt;""),VLOOKUP(Q6&amp;$U$4,$C$44:$H$79,6,0),)</f>
        <v>0</v>
      </c>
      <c r="V6" s="112"/>
      <c r="W6" s="128" t="str">
        <f>Q6</f>
        <v>DSC 99 Düsseldorf</v>
      </c>
      <c r="X6" s="121">
        <f>IF(AND(ISNUMBER(R6),ISNUMBER(S5)),IF(R6&gt;S5,3,IF(R6=S5,1,0)),0)</f>
        <v>1</v>
      </c>
      <c r="Y6" s="120"/>
      <c r="Z6" s="121">
        <f>IF(AND(ISNUMBER(T6),ISNUMBER(S7)),IF(T6&gt;S7,3,IF(T6=S7,1,0)),0)</f>
        <v>1</v>
      </c>
      <c r="AA6" s="121">
        <f>IF(AND(ISNUMBER(U6),ISNUMBER(S8)),IF(U6&gt;S8,3,IF(U6=S8,1,0)),0)</f>
        <v>1</v>
      </c>
      <c r="AB6" s="112"/>
      <c r="AC6" s="122">
        <f>I6*100000+J6*1000+G6</f>
        <v>0</v>
      </c>
      <c r="AD6" s="129">
        <f>COUNTIF(AC5:AC8,AC6)</f>
        <v>4</v>
      </c>
      <c r="AE6" s="129">
        <f>IF(AD6=1,"x","")</f>
      </c>
      <c r="AF6" s="112"/>
      <c r="AG6" s="123">
        <f>IF(AE6="x",2,IF(AC7=AC6,3,IF(AC8=AC6,4,1)))</f>
        <v>3</v>
      </c>
      <c r="AH6" s="116">
        <f>INDEX(X6:AA6,1,AG6)</f>
        <v>1</v>
      </c>
      <c r="AI6" s="124">
        <f>IF(OR($AD$9=2,$AD$9=4),AH6/10,0)</f>
        <v>0</v>
      </c>
      <c r="AJ6" s="115"/>
      <c r="AK6" s="125"/>
      <c r="AL6" s="116" t="e">
        <f>I6-INDEX(X6:AA6,1,$AK$4)-AR6-AW6</f>
        <v>#N/A</v>
      </c>
      <c r="AM6" s="116" t="e">
        <f>J6-INDEX(R6:U6,1,AK4)-INDEX(S5:S8,AK4,1)-ABS(AS6)-ABS(AX6)</f>
        <v>#N/A</v>
      </c>
      <c r="AN6" s="116" t="e">
        <f>G6-INDEX(R6:U6,1,$AK$4)-AT6-AY6</f>
        <v>#N/A</v>
      </c>
      <c r="AO6" s="126">
        <f>IF(OR($AD$9&lt;&gt;3,AE6="x"),0,AL6/10+AM6/1000+AN6/100000)</f>
        <v>0</v>
      </c>
      <c r="AP6" s="115"/>
      <c r="AQ6" s="127"/>
      <c r="AR6" s="116">
        <f>IF(ISNA($AQ$4),0,INDEX(X6:AA6,1,$AQ$4))</f>
        <v>0</v>
      </c>
      <c r="AS6" s="116">
        <f>IF(ISNA($AQ$4),0,(INDEX(R6:U6,1,AQ4)-INDEX(S5:S8,AQ4,1)))</f>
        <v>0</v>
      </c>
      <c r="AT6" s="116">
        <f>IF(ISNA($AQ$4),0,INDEX(R6:U6,1,$AQ$4))</f>
        <v>0</v>
      </c>
      <c r="AU6" s="114"/>
      <c r="AV6" s="127"/>
      <c r="AW6" s="116">
        <f>IF(ISNA($AV$4),0,INDEX(X6:AA6,1,$AV$4))</f>
        <v>0</v>
      </c>
      <c r="AX6" s="116">
        <f>IF(ISNA($AV$4),0,(INDEX(R6:U6,1,AV4)-INDEX(S5:S8,AV4,1)))</f>
        <v>0</v>
      </c>
      <c r="AY6" s="116">
        <f>IF(ISNA($AV$4),0,INDEX(R6:U6,1,$AV$4))</f>
        <v>0</v>
      </c>
      <c r="BO6" s="83"/>
      <c r="BP6" s="83"/>
      <c r="BQ6" s="83"/>
      <c r="BR6" s="83"/>
      <c r="BS6" s="95"/>
      <c r="BT6" s="95"/>
      <c r="BU6" s="95"/>
      <c r="BW6" s="4"/>
      <c r="BX6" s="5"/>
      <c r="BY6" s="5"/>
      <c r="BZ6" s="4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</row>
    <row r="7" spans="2:154" s="3" customFormat="1" ht="12.75">
      <c r="B7" s="32">
        <v>3</v>
      </c>
      <c r="C7" s="5">
        <f>RANK(D7,$D$5:$D$8,1)</f>
        <v>3</v>
      </c>
      <c r="D7" s="5">
        <f>E7+ROW()/1000</f>
        <v>1.007</v>
      </c>
      <c r="E7" s="5">
        <f>RANK(K7,$K$5:$K$8)</f>
        <v>1</v>
      </c>
      <c r="F7" s="32" t="str">
        <f>VLOOKUP(B7,Ergebniseingabe!$A$16:$V$19,2,0)</f>
        <v>TuS Hackenbroich</v>
      </c>
      <c r="G7" s="32">
        <f>SUMPRODUCT((F7=Ergebniseingabe!$N$31:$AH$48)*(Ergebniseingabe!$BE$31:$BE$48))+SUMPRODUCT((F7=Ergebniseingabe!$AJ$31:$BD$48)*(Ergebniseingabe!$BH$31:$BH$48))</f>
        <v>0</v>
      </c>
      <c r="H7" s="32">
        <f>SUMPRODUCT((F7=Ergebniseingabe!$N$31:$AH$48)*(Ergebniseingabe!$BH$31:$BH$48))+SUMPRODUCT((F7=Ergebniseingabe!$AJ$31:$BD$48)*(Ergebniseingabe!$BE$31:$BE$48))</f>
        <v>0</v>
      </c>
      <c r="I7" s="32">
        <f>(SUMPRODUCT((F7=Ergebniseingabe!$N$31:$AH$48)*((Ergebniseingabe!$BE$31:$BE$48)&gt;(Ergebniseingabe!$BH$31:$BH$48)))+SUMPRODUCT((F7=Ergebniseingabe!$AJ$31:$BD$48)*((Ergebniseingabe!$BH$31:$BH$48)&gt;(Ergebniseingabe!$BE$31:$BE$48))))*3+SUMPRODUCT(((F7=Ergebniseingabe!$N$31:$AH$48)+(F7=Ergebniseingabe!$AJ$31:$BD$48))*((Ergebniseingabe!$BH$31:$BH$48)=(Ergebniseingabe!$BE$31:$BE$48))*NOT(ISBLANK(Ergebniseingabe!$BE$31:$BE$48)))</f>
        <v>0</v>
      </c>
      <c r="J7" s="65">
        <f>G7-H7</f>
        <v>0</v>
      </c>
      <c r="K7" s="137">
        <f>AC7+AI7+AO7</f>
        <v>0</v>
      </c>
      <c r="L7" s="32">
        <f>SUMPRODUCT((Ergebniseingabe!$N$31:$AH$48=F7)*(Ergebniseingabe!$BE$31:$BE$48&lt;&gt;""))+SUMPRODUCT((Ergebniseingabe!$AJ$31:$BD$48=F7)*(Ergebniseingabe!$BH$31:$BH$48&lt;&gt;""))</f>
        <v>0</v>
      </c>
      <c r="M7" s="32">
        <f>SUMPRODUCT((Ergebniseingabe!$N$31:$AH$48=F7)*(Ergebniseingabe!$BE$31:$BE$48&gt;Ergebniseingabe!$BH$31:$BH$48))+SUMPRODUCT((Ergebniseingabe!$AJ$31:$BD$48=F7)*(Ergebniseingabe!$BE$31:$BE$48&lt;Ergebniseingabe!$BH$31:$BH$48))</f>
        <v>0</v>
      </c>
      <c r="N7" s="32">
        <f>SUMPRODUCT((Ergebniseingabe!$N$31:$BD$48=F7)*(Ergebniseingabe!$BE$31:$BE$48=Ergebniseingabe!$BH$31:$BH$48)*(Ergebniseingabe!$BE$31:$BE$48&lt;&gt;"")*(Ergebniseingabe!$BH$31:$BH$48&lt;&gt;""))</f>
        <v>0</v>
      </c>
      <c r="O7" s="32">
        <f>SUMPRODUCT((Ergebniseingabe!$N$31:$AH$48=F7)*(Ergebniseingabe!$BE$31:$BE$48&lt;Ergebniseingabe!$BH$31:$BH$48))+SUMPRODUCT((Ergebniseingabe!$AJ$31:$BD$48=F7)*(Ergebniseingabe!$BE$31:$BE$48&gt;Ergebniseingabe!$BH$31:$BH$48))</f>
        <v>0</v>
      </c>
      <c r="P7" s="32"/>
      <c r="Q7" s="119" t="str">
        <f>$F$7</f>
        <v>TuS Hackenbroich</v>
      </c>
      <c r="R7" s="121">
        <f>IF(AND(Q7&amp;$R$4=VLOOKUP(Q7&amp;$R$4,$C$44:$H$79,1,0),VLOOKUP(Q7&amp;$R$4,$C$44:$H$79,6,0)&lt;&gt;""),VLOOKUP(Q7&amp;$R$4,$C$44:$H$79,6,0),)</f>
        <v>0</v>
      </c>
      <c r="S7" s="121">
        <f>IF(AND(Q7&amp;$S$4=VLOOKUP(Q7&amp;$S$4,$C$44:$H$79,1,0),VLOOKUP(Q7&amp;$S$4,$C$44:$H$79,6,0)&lt;&gt;""),VLOOKUP(Q7&amp;$S$4,$C$44:$H$79,6,0),)</f>
        <v>0</v>
      </c>
      <c r="T7" s="120"/>
      <c r="U7" s="121">
        <f>IF(AND(Q7&amp;$U$4=VLOOKUP(Q7&amp;$U$4,$C$44:$H$79,1,0),VLOOKUP(Q7&amp;$U$4,$C$44:$H$79,6,0)&lt;&gt;""),VLOOKUP(Q7&amp;$U$4,$C$44:$H$79,6,0),)</f>
        <v>0</v>
      </c>
      <c r="V7" s="112"/>
      <c r="W7" s="128" t="str">
        <f>Q7</f>
        <v>TuS Hackenbroich</v>
      </c>
      <c r="X7" s="121">
        <f>IF(AND(ISNUMBER(R7),ISNUMBER(T5)),IF(R7&gt;T5,3,IF(R7=T5,1,0)),0)</f>
        <v>1</v>
      </c>
      <c r="Y7" s="121">
        <f>IF(AND(ISNUMBER(S7),ISNUMBER(T6)),IF(S7&gt;T6,3,IF(S7=T6,1,0)),0)</f>
        <v>1</v>
      </c>
      <c r="Z7" s="120"/>
      <c r="AA7" s="121">
        <f>IF(AND(ISNUMBER(U7),ISNUMBER(T8)),IF(U7&gt;T8,3,IF(U7=T8,1,0)),0)</f>
        <v>1</v>
      </c>
      <c r="AB7" s="112"/>
      <c r="AC7" s="122">
        <f>I7*100000+J7*1000+G7</f>
        <v>0</v>
      </c>
      <c r="AD7" s="130">
        <f>COUNTIF(AC5:AC8,AC7)</f>
        <v>4</v>
      </c>
      <c r="AE7" s="129">
        <f>IF(AD7=1,"x","")</f>
      </c>
      <c r="AF7" s="112"/>
      <c r="AG7" s="123">
        <f>IF(AE7="x",3,IF(AC8=AC7,4,IF(AC6=AC7,2,1)))</f>
        <v>4</v>
      </c>
      <c r="AH7" s="116">
        <f>INDEX(X7:AA7,1,AG7)</f>
        <v>1</v>
      </c>
      <c r="AI7" s="124">
        <f>IF(OR($AD$9=2,$AD$9=4),AH7/10,0)</f>
        <v>0</v>
      </c>
      <c r="AJ7" s="115"/>
      <c r="AK7" s="125"/>
      <c r="AL7" s="116" t="e">
        <f>I7-INDEX(X7:AA7,1,$AK$4)-AR7-AW7</f>
        <v>#N/A</v>
      </c>
      <c r="AM7" s="116" t="e">
        <f>J7-INDEX(R7:U7,1,AK4)-INDEX(T5:T8,AK4,1)-ABS(AS7)-ABS(AX7)</f>
        <v>#N/A</v>
      </c>
      <c r="AN7" s="116" t="e">
        <f>G7-INDEX(R7:U7,1,$AK$4)-AT7-AY7</f>
        <v>#N/A</v>
      </c>
      <c r="AO7" s="126">
        <f>IF(OR($AD$9&lt;&gt;3,AE7="x"),0,AL7/10+AM7/1000+AN7/100000)</f>
        <v>0</v>
      </c>
      <c r="AP7" s="115"/>
      <c r="AQ7" s="127"/>
      <c r="AR7" s="116">
        <f>IF(ISNA($AQ$4),0,INDEX(X7:AA7,1,$AQ$4))</f>
        <v>0</v>
      </c>
      <c r="AS7" s="116">
        <f>IF(ISNA($AQ$4),0,(INDEX(R7:U7,1,AQ4)-INDEX(T5:T8,AQ4,1)))</f>
        <v>0</v>
      </c>
      <c r="AT7" s="116">
        <f>IF(ISNA($AQ$4),0,INDEX(R7:U7,1,$AQ$4))</f>
        <v>0</v>
      </c>
      <c r="AU7" s="114"/>
      <c r="AV7" s="127"/>
      <c r="AW7" s="116">
        <f>IF(ISNA($AV$4),0,INDEX(X7:AA7,1,$AV$4))</f>
        <v>0</v>
      </c>
      <c r="AX7" s="116">
        <f>IF(ISNA($AV$4),0,(INDEX(R7:U7,1,AV4)-INDEX(T5:T8,AV4,1)))</f>
        <v>0</v>
      </c>
      <c r="AY7" s="116">
        <f>IF(ISNA($AV$4),0,INDEX(R7:U7,1,$AV$4))</f>
        <v>0</v>
      </c>
      <c r="BR7" s="4"/>
      <c r="BS7" s="4"/>
      <c r="BT7" s="4"/>
      <c r="BU7" s="4"/>
      <c r="BV7" s="4"/>
      <c r="BW7" s="4"/>
      <c r="BY7" s="4"/>
      <c r="BZ7" s="5"/>
      <c r="CA7" s="5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</row>
    <row r="8" spans="2:154" s="3" customFormat="1" ht="14.25">
      <c r="B8" s="32">
        <v>4</v>
      </c>
      <c r="C8" s="5">
        <f>RANK(D8,$D$5:$D$8,1)</f>
        <v>4</v>
      </c>
      <c r="D8" s="5">
        <f>E8+ROW()/1000</f>
        <v>1.008</v>
      </c>
      <c r="E8" s="5">
        <f>RANK(K8,$K$5:$K$8)</f>
        <v>1</v>
      </c>
      <c r="F8" s="32" t="str">
        <f>VLOOKUP(B8,Ergebniseingabe!$A$16:$V$19,2,0)</f>
        <v>DJK Viktoria Frechen</v>
      </c>
      <c r="G8" s="32">
        <f>SUMPRODUCT((F8=Ergebniseingabe!$N$31:$AH$48)*(Ergebniseingabe!$BE$31:$BE$48))+SUMPRODUCT((F8=Ergebniseingabe!$AJ$31:$BD$48)*(Ergebniseingabe!$BH$31:$BH$48))</f>
        <v>0</v>
      </c>
      <c r="H8" s="32">
        <f>SUMPRODUCT((F8=Ergebniseingabe!$N$31:$AH$48)*(Ergebniseingabe!$BH$31:$BH$48))+SUMPRODUCT((F8=Ergebniseingabe!$AJ$31:$BD$48)*(Ergebniseingabe!$BE$31:$BE$48))</f>
        <v>0</v>
      </c>
      <c r="I8" s="32">
        <f>(SUMPRODUCT((F8=Ergebniseingabe!$N$31:$AH$48)*((Ergebniseingabe!$BE$31:$BE$48)&gt;(Ergebniseingabe!$BH$31:$BH$48)))+SUMPRODUCT((F8=Ergebniseingabe!$AJ$31:$BD$48)*((Ergebniseingabe!$BH$31:$BH$48)&gt;(Ergebniseingabe!$BE$31:$BE$48))))*3+SUMPRODUCT(((F8=Ergebniseingabe!$N$31:$AH$48)+(F8=Ergebniseingabe!$AJ$31:$BD$48))*((Ergebniseingabe!$BH$31:$BH$48)=(Ergebniseingabe!$BE$31:$BE$48))*NOT(ISBLANK(Ergebniseingabe!$BE$31:$BE$48)))</f>
        <v>0</v>
      </c>
      <c r="J8" s="65">
        <f>G8-H8</f>
        <v>0</v>
      </c>
      <c r="K8" s="137">
        <f>AC8+AI8+AO8</f>
        <v>0</v>
      </c>
      <c r="L8" s="32">
        <f>SUMPRODUCT((Ergebniseingabe!$N$31:$AH$48=F8)*(Ergebniseingabe!$BE$31:$BE$48&lt;&gt;""))+SUMPRODUCT((Ergebniseingabe!$AJ$31:$BD$48=F8)*(Ergebniseingabe!$BH$31:$BH$48&lt;&gt;""))</f>
        <v>0</v>
      </c>
      <c r="M8" s="32">
        <f>SUMPRODUCT((Ergebniseingabe!$N$31:$AH$48=F8)*(Ergebniseingabe!$BE$31:$BE$48&gt;Ergebniseingabe!$BH$31:$BH$48))+SUMPRODUCT((Ergebniseingabe!$AJ$31:$BD$48=F8)*(Ergebniseingabe!$BE$31:$BE$48&lt;Ergebniseingabe!$BH$31:$BH$48))</f>
        <v>0</v>
      </c>
      <c r="N8" s="32">
        <f>SUMPRODUCT((Ergebniseingabe!$N$31:$BD$48=F8)*(Ergebniseingabe!$BE$31:$BE$48=Ergebniseingabe!$BH$31:$BH$48)*(Ergebniseingabe!$BE$31:$BE$48&lt;&gt;"")*(Ergebniseingabe!$BH$31:$BH$48&lt;&gt;""))</f>
        <v>0</v>
      </c>
      <c r="O8" s="32">
        <f>SUMPRODUCT((Ergebniseingabe!$N$31:$AH$48=F8)*(Ergebniseingabe!$BE$31:$BE$48&lt;Ergebniseingabe!$BH$31:$BH$48))+SUMPRODUCT((Ergebniseingabe!$AJ$31:$BD$48=F8)*(Ergebniseingabe!$BE$31:$BE$48&gt;Ergebniseingabe!$BH$31:$BH$48))</f>
        <v>0</v>
      </c>
      <c r="P8" s="32"/>
      <c r="Q8" s="131" t="str">
        <f>$F$8</f>
        <v>DJK Viktoria Frechen</v>
      </c>
      <c r="R8" s="121">
        <f>IF(AND(Q8&amp;$R$4=VLOOKUP(Q8&amp;$R$4,$C$44:$H$79,1,0),VLOOKUP(Q8&amp;$R$4,$C$44:$H$79,6,0)&lt;&gt;""),VLOOKUP(Q8&amp;$R$4,$C$44:$H$79,6,0),)</f>
        <v>0</v>
      </c>
      <c r="S8" s="121">
        <f>IF(AND(Q8&amp;$S$4=VLOOKUP(Q8&amp;$S$4,$C$44:$H$79,1,0),VLOOKUP(Q8&amp;$S$4,$C$44:$H$79,6,0)&lt;&gt;""),VLOOKUP(Q8&amp;$S$4,$C$44:$H$79,6,0),)</f>
        <v>0</v>
      </c>
      <c r="T8" s="121">
        <f>IF(AND(Q8&amp;$T$4=VLOOKUP(Q8&amp;$T$4,$C$44:$H$79,1,0),VLOOKUP(Q8&amp;$T$4,$C$44:$H$79,6,0)&lt;&gt;""),VLOOKUP(Q8&amp;$T$4,$C$44:$H$79,6,0),)</f>
        <v>0</v>
      </c>
      <c r="U8" s="120"/>
      <c r="V8" s="112"/>
      <c r="W8" s="132" t="str">
        <f>Q8</f>
        <v>DJK Viktoria Frechen</v>
      </c>
      <c r="X8" s="121">
        <f>IF(AND(ISNUMBER(R8),ISNUMBER(U5)),IF(R8&gt;U5,3,IF(R8=U5,1,0)),0)</f>
        <v>1</v>
      </c>
      <c r="Y8" s="121">
        <f>IF(AND(ISNUMBER(S8),ISNUMBER(U6)),IF(S8&gt;U6,3,IF(S8=U6,1,0)),0)</f>
        <v>1</v>
      </c>
      <c r="Z8" s="121">
        <f>IF(AND(ISNUMBER(T8),ISNUMBER(U7)),IF(T8&gt;U7,3,IF(T8=U7,1,0)),0)</f>
        <v>1</v>
      </c>
      <c r="AA8" s="120"/>
      <c r="AB8" s="112"/>
      <c r="AC8" s="122">
        <f>I8*100000+J8*1000+G8</f>
        <v>0</v>
      </c>
      <c r="AD8" s="133">
        <f>COUNTIF(AC5:AC8,AC8)</f>
        <v>4</v>
      </c>
      <c r="AE8" s="133">
        <f>IF(AD8=1,"x","")</f>
      </c>
      <c r="AF8" s="112"/>
      <c r="AG8" s="123">
        <f>IF(AE8="x",4,IF(AC5=AC8,1,IF(AC6=AC8,2,3)))</f>
        <v>1</v>
      </c>
      <c r="AH8" s="116">
        <f>INDEX(X8:AA8,1,AG8)</f>
        <v>1</v>
      </c>
      <c r="AI8" s="124">
        <f>IF(OR($AD$9=2,$AD$9=4),AH8/10,0)</f>
        <v>0</v>
      </c>
      <c r="AJ8" s="115"/>
      <c r="AK8" s="114"/>
      <c r="AL8" s="116" t="e">
        <f>I8-INDEX(X8:AA8,1,$AK$4)-AR8-AW8</f>
        <v>#N/A</v>
      </c>
      <c r="AM8" s="116" t="e">
        <f>J8-INDEX(R8:U8,1,AK4)-INDEX(U5:U8,AK4,1)-ABS(AS8)-ABS(AX8)</f>
        <v>#N/A</v>
      </c>
      <c r="AN8" s="116" t="e">
        <f>G8-INDEX(R8:U8,1,$AK$4)-AT8-AY8</f>
        <v>#N/A</v>
      </c>
      <c r="AO8" s="126">
        <f>IF(OR($AD$9&lt;&gt;3,AE8="x"),0,AL8/10+AM8/1000+AN8/100000)</f>
        <v>0</v>
      </c>
      <c r="AP8" s="115"/>
      <c r="AQ8" s="127"/>
      <c r="AR8" s="116">
        <f>IF(ISNA($AQ$4),0,INDEX(X8:AA8,1,$AQ$4))</f>
        <v>0</v>
      </c>
      <c r="AS8" s="116">
        <f>IF(ISNA($AQ$4),0,(INDEX(R8:U8,1,AQ4)-INDEX(U5:U8,AQ4,1)))</f>
        <v>0</v>
      </c>
      <c r="AT8" s="116">
        <f>IF(ISNA($AQ$4),0,INDEX(R8:U8,1,$AQ$4))</f>
        <v>0</v>
      </c>
      <c r="AU8" s="114"/>
      <c r="AV8" s="127"/>
      <c r="AW8" s="116">
        <f>IF(ISNA($AV$4),0,INDEX(X8:AA8,1,$AV$4))</f>
        <v>0</v>
      </c>
      <c r="AX8" s="116">
        <f>IF(ISNA($AV$4),0,(INDEX(R8:U8,1,AV4)-INDEX(U5:U8,AV4,1)))</f>
        <v>0</v>
      </c>
      <c r="AY8" s="116">
        <f>IF(ISNA($AV$4),0,INDEX(R8:U8,1,$AV$4))</f>
        <v>0</v>
      </c>
      <c r="BR8" s="4"/>
      <c r="BS8" s="4"/>
      <c r="BT8" s="4"/>
      <c r="BU8" s="4"/>
      <c r="BV8" s="4"/>
      <c r="BW8" s="4"/>
      <c r="BY8" s="4"/>
      <c r="BZ8" s="5"/>
      <c r="CA8" s="5"/>
      <c r="DS8" s="94"/>
      <c r="DT8" s="94"/>
      <c r="DU8" s="9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</row>
    <row r="9" spans="2:154" s="3" customFormat="1" ht="36">
      <c r="B9" s="32">
        <f>COUNT(B5:B8)*(COUNT(B5:B8)-1)</f>
        <v>12</v>
      </c>
      <c r="C9" s="5"/>
      <c r="D9" s="5"/>
      <c r="E9" s="5">
        <f>COUNTIF($E$5:$E$8,1)</f>
        <v>4</v>
      </c>
      <c r="F9" s="32"/>
      <c r="G9" s="65"/>
      <c r="H9" s="65"/>
      <c r="I9" s="65"/>
      <c r="J9" s="65"/>
      <c r="K9" s="32"/>
      <c r="L9" s="65">
        <f>SUM(L5:L8)</f>
        <v>0</v>
      </c>
      <c r="M9" s="65"/>
      <c r="N9" s="65"/>
      <c r="O9" s="65"/>
      <c r="P9" s="3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34" t="s">
        <v>59</v>
      </c>
      <c r="AD9" s="135">
        <f>MOD(MIN(AD5:AD8)*MAX(AD5:AD8),11)</f>
        <v>5</v>
      </c>
      <c r="AE9" s="117"/>
      <c r="AF9" s="112"/>
      <c r="AG9" s="125"/>
      <c r="AH9" s="114"/>
      <c r="AI9" s="114"/>
      <c r="AJ9" s="115"/>
      <c r="AK9" s="125"/>
      <c r="AL9" s="136" t="s">
        <v>38</v>
      </c>
      <c r="AM9" s="136" t="s">
        <v>39</v>
      </c>
      <c r="AN9" s="136" t="s">
        <v>60</v>
      </c>
      <c r="AO9" s="117"/>
      <c r="AP9" s="115"/>
      <c r="AQ9" s="117"/>
      <c r="AR9" s="136" t="s">
        <v>38</v>
      </c>
      <c r="AS9" s="136" t="s">
        <v>39</v>
      </c>
      <c r="AT9" s="136" t="s">
        <v>60</v>
      </c>
      <c r="AU9" s="117"/>
      <c r="AV9" s="117"/>
      <c r="AW9" s="136" t="s">
        <v>38</v>
      </c>
      <c r="AX9" s="136" t="s">
        <v>39</v>
      </c>
      <c r="AY9" s="136" t="s">
        <v>60</v>
      </c>
      <c r="BR9" s="4"/>
      <c r="BS9" s="4"/>
      <c r="BT9" s="4"/>
      <c r="BU9" s="4"/>
      <c r="BV9" s="4"/>
      <c r="BW9" s="4"/>
      <c r="BY9" s="4"/>
      <c r="BZ9" s="5"/>
      <c r="CA9" s="5"/>
      <c r="DS9" s="32"/>
      <c r="DT9" s="32"/>
      <c r="DU9" s="32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4"/>
      <c r="ES9" s="4"/>
      <c r="ET9" s="4"/>
      <c r="EU9" s="4"/>
      <c r="EV9" s="4"/>
      <c r="EW9" s="4"/>
      <c r="EX9" s="4"/>
    </row>
    <row r="10" spans="1:154" s="66" customFormat="1" ht="14.25">
      <c r="A10" s="3"/>
      <c r="B10" s="32"/>
      <c r="C10" s="32"/>
      <c r="D10" s="32"/>
      <c r="E10" s="5">
        <f>COUNTIF($E$5:$E$8,2)</f>
        <v>0</v>
      </c>
      <c r="F10" s="32"/>
      <c r="G10" s="32"/>
      <c r="H10" s="32"/>
      <c r="I10" s="32"/>
      <c r="J10" s="32"/>
      <c r="K10" s="32"/>
      <c r="L10" s="32"/>
      <c r="M10" s="5"/>
      <c r="N10" s="5"/>
      <c r="O10" s="32"/>
      <c r="P10" s="32"/>
      <c r="Q10" s="32"/>
      <c r="R10" s="32"/>
      <c r="S10" s="32"/>
      <c r="T10" s="3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"/>
      <c r="BS10" s="4"/>
      <c r="BT10" s="4"/>
      <c r="BU10" s="4"/>
      <c r="BV10" s="4"/>
      <c r="BW10" s="4"/>
      <c r="BX10" s="3"/>
      <c r="BY10" s="4"/>
      <c r="BZ10" s="5"/>
      <c r="CA10" s="5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94"/>
      <c r="ES10" s="94"/>
      <c r="ET10" s="94"/>
      <c r="EU10" s="94"/>
      <c r="EV10" s="94"/>
      <c r="EW10" s="94"/>
      <c r="EX10" s="94"/>
    </row>
    <row r="11" spans="1:154" s="95" customFormat="1" ht="12.75">
      <c r="A11" s="3"/>
      <c r="B11" s="5"/>
      <c r="C11" s="5"/>
      <c r="D11" s="5"/>
      <c r="E11" s="5">
        <f>COUNTIF($E$5:$E$8,3)</f>
        <v>0</v>
      </c>
      <c r="F11" s="5"/>
      <c r="G11" s="5"/>
      <c r="H11" s="5"/>
      <c r="I11" s="5"/>
      <c r="J11" s="5"/>
      <c r="K11" s="85"/>
      <c r="L11" s="85"/>
      <c r="M11" s="5"/>
      <c r="N11" s="5"/>
      <c r="O11" s="32"/>
      <c r="P11" s="32"/>
      <c r="Q11" s="32"/>
      <c r="R11" s="32"/>
      <c r="S11" s="32"/>
      <c r="T11" s="3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4"/>
      <c r="BS11" s="4"/>
      <c r="BT11" s="4"/>
      <c r="BU11" s="4"/>
      <c r="BV11" s="4"/>
      <c r="BW11" s="4"/>
      <c r="BX11" s="3"/>
      <c r="BY11" s="4"/>
      <c r="BZ11" s="5"/>
      <c r="CA11" s="5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2"/>
      <c r="ES11" s="32"/>
      <c r="ET11" s="32"/>
      <c r="EU11" s="32"/>
      <c r="EV11" s="32"/>
      <c r="EW11" s="32"/>
      <c r="EX11" s="32"/>
    </row>
    <row r="12" spans="2:79" s="3" customFormat="1" ht="12.75">
      <c r="B12" s="5"/>
      <c r="C12" s="5"/>
      <c r="D12" s="5"/>
      <c r="E12" s="5">
        <f>COUNTIF($E$5:$E$8,4)</f>
        <v>0</v>
      </c>
      <c r="F12" s="5"/>
      <c r="G12" s="5"/>
      <c r="H12" s="5"/>
      <c r="I12" s="5"/>
      <c r="J12" s="5"/>
      <c r="K12" s="85"/>
      <c r="L12" s="85"/>
      <c r="M12" s="5"/>
      <c r="N12" s="5"/>
      <c r="O12" s="32"/>
      <c r="P12" s="32"/>
      <c r="Q12" s="32"/>
      <c r="R12" s="32"/>
      <c r="S12" s="32"/>
      <c r="T12" s="32"/>
      <c r="BR12" s="4"/>
      <c r="BS12" s="4"/>
      <c r="BT12" s="4"/>
      <c r="BU12" s="4"/>
      <c r="BV12" s="4"/>
      <c r="BW12" s="4"/>
      <c r="BY12" s="4"/>
      <c r="BZ12" s="5"/>
      <c r="CA12" s="5"/>
    </row>
    <row r="13" spans="2:79" s="3" customFormat="1" ht="12.75">
      <c r="B13" s="5"/>
      <c r="C13" s="5"/>
      <c r="D13" s="5"/>
      <c r="E13" s="5"/>
      <c r="F13" s="5"/>
      <c r="G13" s="5"/>
      <c r="H13" s="5"/>
      <c r="I13" s="5"/>
      <c r="J13" s="5"/>
      <c r="K13" s="85"/>
      <c r="L13" s="85"/>
      <c r="M13" s="5"/>
      <c r="N13" s="5"/>
      <c r="O13" s="32"/>
      <c r="P13" s="32"/>
      <c r="Q13" s="32"/>
      <c r="R13" s="32"/>
      <c r="S13" s="32"/>
      <c r="T13" s="32"/>
      <c r="BR13" s="4"/>
      <c r="BS13" s="4"/>
      <c r="BT13" s="4"/>
      <c r="BU13" s="4"/>
      <c r="BV13" s="4"/>
      <c r="BW13" s="4"/>
      <c r="BY13" s="4"/>
      <c r="BZ13" s="5"/>
      <c r="CA13" s="5"/>
    </row>
    <row r="14" spans="2:122" s="3" customFormat="1" ht="114.75">
      <c r="B14" s="109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/>
      <c r="N14" s="5"/>
      <c r="O14" s="32"/>
      <c r="P14" s="32"/>
      <c r="Q14" s="110" t="s">
        <v>23</v>
      </c>
      <c r="R14" s="111" t="str">
        <f>Q15</f>
        <v>SV Rosellen 1</v>
      </c>
      <c r="S14" s="111" t="str">
        <f>Q16</f>
        <v>SV Nütterden</v>
      </c>
      <c r="T14" s="111" t="str">
        <f>Q17</f>
        <v>1. FC Quadrath Ichendorf</v>
      </c>
      <c r="U14" s="111" t="str">
        <f>Q18</f>
        <v>SC Blau-Weiß 06 Köln</v>
      </c>
      <c r="V14" s="112"/>
      <c r="W14" s="110" t="s">
        <v>38</v>
      </c>
      <c r="X14" s="111" t="str">
        <f>W15</f>
        <v>SV Rosellen 1</v>
      </c>
      <c r="Y14" s="111" t="str">
        <f>W16</f>
        <v>SV Nütterden</v>
      </c>
      <c r="Z14" s="111" t="str">
        <f>W17</f>
        <v>1. FC Quadrath Ichendorf</v>
      </c>
      <c r="AA14" s="111" t="str">
        <f>W18</f>
        <v>SC Blau-Weiß 06 Köln</v>
      </c>
      <c r="AB14" s="112"/>
      <c r="AC14" s="112"/>
      <c r="AD14" s="112"/>
      <c r="AE14" s="112"/>
      <c r="AF14" s="112"/>
      <c r="AG14" s="113"/>
      <c r="AH14" s="114"/>
      <c r="AI14" s="114"/>
      <c r="AJ14" s="115"/>
      <c r="AK14" s="116" t="e">
        <f>MATCH(1,AD15:AD18,0)</f>
        <v>#N/A</v>
      </c>
      <c r="AL14" s="60"/>
      <c r="AM14" s="117"/>
      <c r="AN14" s="117"/>
      <c r="AO14" s="117"/>
      <c r="AP14" s="115"/>
      <c r="AQ14" s="118" t="e">
        <f ca="1">MATCH(1,OFFSET($AD$15:$AD$18,AK14,0),0)+AK14</f>
        <v>#N/A</v>
      </c>
      <c r="AR14" s="117"/>
      <c r="AS14" s="117"/>
      <c r="AT14" s="117"/>
      <c r="AU14" s="117"/>
      <c r="AV14" s="118" t="e">
        <f ca="1">MATCH(1,OFFSET($AD$15:$AD$18,AQ14,0),0)+AQ14</f>
        <v>#N/A</v>
      </c>
      <c r="AW14" s="117"/>
      <c r="AX14" s="117"/>
      <c r="AY14" s="117"/>
      <c r="BU14" s="4"/>
      <c r="BV14" s="5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2:122" s="3" customFormat="1" ht="12.75">
      <c r="B15" s="32">
        <v>1</v>
      </c>
      <c r="C15" s="5">
        <f>RANK(D15,$D$15:$D$18,1)</f>
        <v>1</v>
      </c>
      <c r="D15" s="5">
        <f>E15+ROW()/1000</f>
        <v>1.015</v>
      </c>
      <c r="E15" s="5">
        <f>RANK(K15,$K$15:$K$18)</f>
        <v>1</v>
      </c>
      <c r="F15" s="32" t="str">
        <f>VLOOKUP(B15,Ergebniseingabe!$X$16:$AS$19,2,0)</f>
        <v>SV Rosellen 1</v>
      </c>
      <c r="G15" s="32">
        <f>SUMPRODUCT((F15=Ergebniseingabe!$N$31:$AH$48)*(Ergebniseingabe!$BE$31:$BE$48))+SUMPRODUCT((F15=Ergebniseingabe!$AJ$31:$BD$48)*(Ergebniseingabe!$BH$31:$BH$48))</f>
        <v>0</v>
      </c>
      <c r="H15" s="32">
        <f>SUMPRODUCT((F15=Ergebniseingabe!$N$31:$AH$48)*(Ergebniseingabe!$BH$31:$BH$48))+SUMPRODUCT((F15=Ergebniseingabe!$AJ$31:$BD$48)*(Ergebniseingabe!$BE$31:$BE$48))</f>
        <v>0</v>
      </c>
      <c r="I15" s="32">
        <f>(SUMPRODUCT((F15=Ergebniseingabe!$N$31:$AH$48)*((Ergebniseingabe!$BE$31:$BE$48)&gt;(Ergebniseingabe!$BH$31:$BH$48)))+SUMPRODUCT((F15=Ergebniseingabe!$AJ$31:$BD$48)*((Ergebniseingabe!$BH$31:$BH$48)&gt;(Ergebniseingabe!$BE$31:$BE$48))))*3+SUMPRODUCT(((F15=Ergebniseingabe!$N$31:$AH$48)+(F15=Ergebniseingabe!$AJ$31:$BD$48))*((Ergebniseingabe!$BH$31:$BH$48)=(Ergebniseingabe!$BE$31:$BE$48))*NOT(ISBLANK(Ergebniseingabe!$BE$31:$BE$48)))</f>
        <v>0</v>
      </c>
      <c r="J15" s="65">
        <f>G15-H15</f>
        <v>0</v>
      </c>
      <c r="K15" s="137">
        <f>AC15+AI15+AO15</f>
        <v>0</v>
      </c>
      <c r="L15" s="32">
        <f>SUMPRODUCT((Ergebniseingabe!$N$31:$AH$48=F15)*(Ergebniseingabe!$BE$31:$BE$48&lt;&gt;""))+SUMPRODUCT((Ergebniseingabe!$AJ$31:$BD$48=F15)*(Ergebniseingabe!$BH$31:$BH$48&lt;&gt;""))</f>
        <v>0</v>
      </c>
      <c r="M15" s="32">
        <f>SUMPRODUCT((Ergebniseingabe!$N$31:$AH$48=F15)*(Ergebniseingabe!$BE$31:$BE$48&gt;Ergebniseingabe!$BH$31:$BH$48))+SUMPRODUCT((Ergebniseingabe!$AJ$31:$BD$48=F15)*(Ergebniseingabe!$BE$31:$BE$48&lt;Ergebniseingabe!$BH$31:$BH$48))</f>
        <v>0</v>
      </c>
      <c r="N15" s="32">
        <f>SUMPRODUCT((Ergebniseingabe!$N$31:$BD$48=F15)*(Ergebniseingabe!$BE$31:$BE$48=Ergebniseingabe!$BH$31:$BH$48)*(Ergebniseingabe!$BE$31:$BE$48&lt;&gt;"")*(Ergebniseingabe!$BH$31:$BH$48&lt;&gt;""))</f>
        <v>0</v>
      </c>
      <c r="O15" s="32">
        <f>SUMPRODUCT((Ergebniseingabe!$N$31:$AH$48=F15)*(Ergebniseingabe!$BE$31:$BE$48&lt;Ergebniseingabe!$BH$31:$BH$48))+SUMPRODUCT((Ergebniseingabe!$AJ$31:$BD$48=F15)*(Ergebniseingabe!$BE$31:$BE$48&gt;Ergebniseingabe!$BH$31:$BH$48))</f>
        <v>0</v>
      </c>
      <c r="P15" s="32"/>
      <c r="Q15" s="119" t="str">
        <f>F15</f>
        <v>SV Rosellen 1</v>
      </c>
      <c r="R15" s="120"/>
      <c r="S15" s="121">
        <f>IF(AND(Q15&amp;$S$14=VLOOKUP(Q15&amp;$S$14,$C$44:$H$79,1,0),VLOOKUP(Q15&amp;$S$14,$C$44:$H$79,6,0)&lt;&gt;""),VLOOKUP(Q15&amp;$S$14,$C$44:$H$79,6,0),)</f>
        <v>0</v>
      </c>
      <c r="T15" s="121">
        <f>IF(AND(Q15&amp;$T$14=VLOOKUP(Q15&amp;$T$14,$C$44:$H$79,1,0),VLOOKUP(Q15&amp;$T$14,$C$44:$H$79,6,0)&lt;&gt;""),VLOOKUP(Q15&amp;$T$14,$C$44:$H$79,6,0),)</f>
        <v>0</v>
      </c>
      <c r="U15" s="121">
        <f>IF(AND(Q15&amp;$U$14=VLOOKUP(Q15&amp;$U$14,$C$44:$H$79,1,0),VLOOKUP(Q15&amp;$U$14,$C$44:$H$79,6,0)&lt;&gt;""),VLOOKUP(Q15&amp;$U$14,$C$44:$H$79,6,0),)</f>
        <v>0</v>
      </c>
      <c r="V15" s="112"/>
      <c r="W15" s="119" t="str">
        <f>Q15</f>
        <v>SV Rosellen 1</v>
      </c>
      <c r="X15" s="120"/>
      <c r="Y15" s="121">
        <f>IF(AND(ISNUMBER(S15),ISNUMBER(R16)),IF(S15&gt;R16,3,IF(S15=R16,1,0)),0)</f>
        <v>1</v>
      </c>
      <c r="Z15" s="121">
        <f>IF(AND(ISNUMBER(T15),ISNUMBER(R17)),IF(T15&gt;R17,3,IF(T15=R17,1,0)),0)</f>
        <v>1</v>
      </c>
      <c r="AA15" s="121">
        <f>IF(AND(ISNUMBER(U15),ISNUMBER(R18)),IF(U15&gt;R18,3,IF(U15=R18,1,0)),0)</f>
        <v>1</v>
      </c>
      <c r="AB15" s="112"/>
      <c r="AC15" s="122">
        <f>I15*100000+J15*1000+G15</f>
        <v>0</v>
      </c>
      <c r="AD15" s="122">
        <f>COUNTIF(AC15:AC18,AC15)</f>
        <v>4</v>
      </c>
      <c r="AE15" s="122">
        <f>IF(AD15=1,"x","")</f>
      </c>
      <c r="AF15" s="112"/>
      <c r="AG15" s="123">
        <f>IF(AE15="x",1,IF(AC16=AC15,2,IF(AC17=AC15,3,4)))</f>
        <v>2</v>
      </c>
      <c r="AH15" s="116">
        <f>INDEX(X15:AA15,1,AG15)</f>
        <v>1</v>
      </c>
      <c r="AI15" s="124">
        <f>IF(OR($AD$19=2,$AD$19=4),AH15/10,0)</f>
        <v>0</v>
      </c>
      <c r="AJ15" s="115"/>
      <c r="AK15" s="125"/>
      <c r="AL15" s="116" t="e">
        <f>I15-INDEX(X15:AA15,1,$AK$14)-AR15-AW15</f>
        <v>#N/A</v>
      </c>
      <c r="AM15" s="116" t="e">
        <f>J15-INDEX(R15:U15,1,$AK$14)-INDEX(R15:R18,$AK$14,1)-ABS(AS15)-ABS(AX15)</f>
        <v>#N/A</v>
      </c>
      <c r="AN15" s="116" t="e">
        <f>G15-INDEX(R15:U15,1,$AK$14)-AT15-AY15</f>
        <v>#N/A</v>
      </c>
      <c r="AO15" s="126">
        <f>IF(OR($AD$19&lt;&gt;3,AE15="x"),0,AL15/10+AM15/1000+AN15/100000)</f>
        <v>0</v>
      </c>
      <c r="AP15" s="115"/>
      <c r="AQ15" s="127"/>
      <c r="AR15" s="116">
        <f>IF(ISNA($AQ$14),0,INDEX(X15:AA15,1,$AQ$14))</f>
        <v>0</v>
      </c>
      <c r="AS15" s="116">
        <f>IF(ISNA($AQ$14),0,(INDEX(R15:U15,1,$AQ$14)-INDEX(R15:R18,$AQ$14,1)))</f>
        <v>0</v>
      </c>
      <c r="AT15" s="116">
        <f>IF(ISNA($AQ$14),0,INDEX(R15:U15,1,$AQ$14))</f>
        <v>0</v>
      </c>
      <c r="AU15" s="114"/>
      <c r="AV15" s="127"/>
      <c r="AW15" s="116">
        <f>IF(ISNA($AV$14),0,INDEX(X15:AA15,1,$AV$14))</f>
        <v>0</v>
      </c>
      <c r="AX15" s="116">
        <f>IF(ISNA($AV$14),0,(INDEX(R15:U15,1,$AV$14)-INDEX(R15:R18,$AV$14,1)))</f>
        <v>0</v>
      </c>
      <c r="AY15" s="116">
        <f>IF(ISNA($AV$14),0,INDEX(R15:U15,1,$AV$14))</f>
        <v>0</v>
      </c>
      <c r="BU15" s="4"/>
      <c r="BV15" s="5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2:122" s="3" customFormat="1" ht="12.75">
      <c r="B16" s="32">
        <v>2</v>
      </c>
      <c r="C16" s="5">
        <f>RANK(D16,$D$15:$D$18,1)</f>
        <v>2</v>
      </c>
      <c r="D16" s="5">
        <f>E16+ROW()/1000</f>
        <v>1.016</v>
      </c>
      <c r="E16" s="5">
        <f>RANK(K16,$K$15:$K$18)</f>
        <v>1</v>
      </c>
      <c r="F16" s="32" t="str">
        <f>VLOOKUP(B16,Ergebniseingabe!$X$16:$AS$19,2,0)</f>
        <v>SV Nütterden</v>
      </c>
      <c r="G16" s="32">
        <f>SUMPRODUCT((F16=Ergebniseingabe!$N$31:$AH$48)*(Ergebniseingabe!$BE$31:$BE$48))+SUMPRODUCT((F16=Ergebniseingabe!$AJ$31:$BD$48)*(Ergebniseingabe!$BH$31:$BH$48))</f>
        <v>0</v>
      </c>
      <c r="H16" s="32">
        <f>SUMPRODUCT((F16=Ergebniseingabe!$N$31:$AH$48)*(Ergebniseingabe!$BH$31:$BH$48))+SUMPRODUCT((F16=Ergebniseingabe!$AJ$31:$BD$48)*(Ergebniseingabe!$BE$31:$BE$48))</f>
        <v>0</v>
      </c>
      <c r="I16" s="32">
        <f>(SUMPRODUCT((F16=Ergebniseingabe!$N$31:$AH$48)*((Ergebniseingabe!$BE$31:$BE$48)&gt;(Ergebniseingabe!$BH$31:$BH$48)))+SUMPRODUCT((F16=Ergebniseingabe!$AJ$31:$BD$48)*((Ergebniseingabe!$BH$31:$BH$48)&gt;(Ergebniseingabe!$BE$31:$BE$48))))*3+SUMPRODUCT(((F16=Ergebniseingabe!$N$31:$AH$48)+(F16=Ergebniseingabe!$AJ$31:$BD$48))*((Ergebniseingabe!$BH$31:$BH$48)=(Ergebniseingabe!$BE$31:$BE$48))*NOT(ISBLANK(Ergebniseingabe!$BE$31:$BE$48)))</f>
        <v>0</v>
      </c>
      <c r="J16" s="65">
        <f>G16-H16</f>
        <v>0</v>
      </c>
      <c r="K16" s="137">
        <f>AC16+AI16+AO16</f>
        <v>0</v>
      </c>
      <c r="L16" s="32">
        <f>SUMPRODUCT((Ergebniseingabe!$N$31:$AH$48=F16)*(Ergebniseingabe!$BE$31:$BE$48&lt;&gt;""))+SUMPRODUCT((Ergebniseingabe!$AJ$31:$BD$48=F16)*(Ergebniseingabe!$BH$31:$BH$48&lt;&gt;""))</f>
        <v>0</v>
      </c>
      <c r="M16" s="32">
        <f>SUMPRODUCT((Ergebniseingabe!$N$31:$AH$48=F16)*(Ergebniseingabe!$BE$31:$BE$48&gt;Ergebniseingabe!$BH$31:$BH$48))+SUMPRODUCT((Ergebniseingabe!$AJ$31:$BD$48=F16)*(Ergebniseingabe!$BE$31:$BE$48&lt;Ergebniseingabe!$BH$31:$BH$48))</f>
        <v>0</v>
      </c>
      <c r="N16" s="32">
        <f>SUMPRODUCT((Ergebniseingabe!$N$31:$BD$48=F16)*(Ergebniseingabe!$BE$31:$BE$48=Ergebniseingabe!$BH$31:$BH$48)*(Ergebniseingabe!$BE$31:$BE$48&lt;&gt;"")*(Ergebniseingabe!$BH$31:$BH$48&lt;&gt;""))</f>
        <v>0</v>
      </c>
      <c r="O16" s="32">
        <f>SUMPRODUCT((Ergebniseingabe!$N$31:$AH$48=F16)*(Ergebniseingabe!$BE$31:$BE$48&lt;Ergebniseingabe!$BH$31:$BH$48))+SUMPRODUCT((Ergebniseingabe!$AJ$31:$BD$48=F16)*(Ergebniseingabe!$BE$31:$BE$48&gt;Ergebniseingabe!$BH$31:$BH$48))</f>
        <v>0</v>
      </c>
      <c r="P16" s="32"/>
      <c r="Q16" s="119" t="str">
        <f>F16</f>
        <v>SV Nütterden</v>
      </c>
      <c r="R16" s="121">
        <f>IF(AND(Q16&amp;$R$14=VLOOKUP(Q16&amp;$R$14,$C$44:$H$79,1,0),VLOOKUP(Q16&amp;$R$14,$C$44:$H$79,6,0)&lt;&gt;""),VLOOKUP(Q16&amp;$R$14,$C$44:$H$79,6,0),)</f>
        <v>0</v>
      </c>
      <c r="S16" s="120"/>
      <c r="T16" s="121">
        <f>IF(AND(Q16&amp;$T$14=VLOOKUP(Q16&amp;$T$14,$C$44:$H$79,1,0),VLOOKUP(Q16&amp;$T$14,$C$44:$H$79,6,0)&lt;&gt;""),VLOOKUP(Q16&amp;$T$14,$C$44:$H$79,6,0),)</f>
        <v>0</v>
      </c>
      <c r="U16" s="121">
        <f>IF(AND(Q16&amp;$U$14=VLOOKUP(Q16&amp;$U$14,$C$44:$H$79,1,0),VLOOKUP(Q16&amp;$U$14,$C$44:$H$79,6,0)&lt;&gt;""),VLOOKUP(Q16&amp;$U$14,$C$44:$H$79,6,0),)</f>
        <v>0</v>
      </c>
      <c r="V16" s="112"/>
      <c r="W16" s="128" t="str">
        <f>Q16</f>
        <v>SV Nütterden</v>
      </c>
      <c r="X16" s="121">
        <f>IF(AND(ISNUMBER(R16),ISNUMBER(S15)),IF(R16&gt;S15,3,IF(R16=S15,1,0)),0)</f>
        <v>1</v>
      </c>
      <c r="Y16" s="120"/>
      <c r="Z16" s="121">
        <f>IF(AND(ISNUMBER(T16),ISNUMBER(S17)),IF(T16&gt;S17,3,IF(T16=S17,1,0)),0)</f>
        <v>1</v>
      </c>
      <c r="AA16" s="121">
        <f>IF(AND(ISNUMBER(U16),ISNUMBER(S18)),IF(U16&gt;S18,3,IF(U16=S18,1,0)),0)</f>
        <v>1</v>
      </c>
      <c r="AB16" s="112"/>
      <c r="AC16" s="122">
        <f>I16*100000+J16*1000+G16</f>
        <v>0</v>
      </c>
      <c r="AD16" s="129">
        <f>COUNTIF(AC15:AC18,AC16)</f>
        <v>4</v>
      </c>
      <c r="AE16" s="129">
        <f>IF(AD16=1,"x","")</f>
      </c>
      <c r="AF16" s="112"/>
      <c r="AG16" s="123">
        <f>IF(AE16="x",2,IF(AC17=AC16,3,IF(AC18=AC16,4,1)))</f>
        <v>3</v>
      </c>
      <c r="AH16" s="116">
        <f>INDEX(X16:AA16,1,AG16)</f>
        <v>1</v>
      </c>
      <c r="AI16" s="124">
        <f>IF(OR($AD$19=2,$AD$19=4),AH16/10,0)</f>
        <v>0</v>
      </c>
      <c r="AJ16" s="115"/>
      <c r="AK16" s="125"/>
      <c r="AL16" s="116" t="e">
        <f>I16-INDEX(X16:AA16,1,$AK$14)-AR16-AW16</f>
        <v>#N/A</v>
      </c>
      <c r="AM16" s="116" t="e">
        <f>J16-INDEX(R16:U16,1,$AK$14)-INDEX(R16:R19,$AK$14,1)-ABS(AS16)-ABS(AX16)</f>
        <v>#N/A</v>
      </c>
      <c r="AN16" s="116" t="e">
        <f>G16-INDEX(R16:U16,1,$AK$14)-AT16-AY16</f>
        <v>#N/A</v>
      </c>
      <c r="AO16" s="126">
        <f>IF(OR($AD$19&lt;&gt;3,AE16="x"),0,AL16/10+AM16/1000+AN16/100000)</f>
        <v>0</v>
      </c>
      <c r="AP16" s="115"/>
      <c r="AQ16" s="127"/>
      <c r="AR16" s="116">
        <f>IF(ISNA($AQ$14),0,INDEX(X16:AA16,1,$AQ$14))</f>
        <v>0</v>
      </c>
      <c r="AS16" s="116">
        <f>IF(ISNA($AQ$14),0,(INDEX(R16:U16,1,$AQ$14)-INDEX(R16:R19,$AQ$14,1)))</f>
        <v>0</v>
      </c>
      <c r="AT16" s="116">
        <f>IF(ISNA($AQ$14),0,INDEX(R16:U16,1,$AQ$14))</f>
        <v>0</v>
      </c>
      <c r="AU16" s="114"/>
      <c r="AV16" s="127"/>
      <c r="AW16" s="116">
        <f>IF(ISNA($AV$14),0,INDEX(X16:AA16,1,$AV$14))</f>
        <v>0</v>
      </c>
      <c r="AX16" s="116">
        <f>IF(ISNA($AV$14),0,(INDEX(R16:U16,1,$AV$14)-INDEX(S15:S18,$AV$14,1)))</f>
        <v>0</v>
      </c>
      <c r="AY16" s="116">
        <f>IF(ISNA($AV$14),0,INDEX(R16:U16,1,$AV$14))</f>
        <v>0</v>
      </c>
      <c r="BU16" s="4"/>
      <c r="BV16" s="5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2:125" s="3" customFormat="1" ht="12.75">
      <c r="B17" s="32">
        <v>3</v>
      </c>
      <c r="C17" s="5">
        <f>RANK(D17,$D$15:$D$18,1)</f>
        <v>3</v>
      </c>
      <c r="D17" s="5">
        <f>E17+ROW()/1000</f>
        <v>1.017</v>
      </c>
      <c r="E17" s="5">
        <f>RANK(K17,$K$15:$K$18)</f>
        <v>1</v>
      </c>
      <c r="F17" s="32" t="str">
        <f>VLOOKUP(B17,Ergebniseingabe!$X$16:$AS$19,2,0)</f>
        <v>1. FC Quadrath Ichendorf</v>
      </c>
      <c r="G17" s="32">
        <f>SUMPRODUCT((F17=Ergebniseingabe!$N$31:$AH$48)*(Ergebniseingabe!$BE$31:$BE$48))+SUMPRODUCT((F17=Ergebniseingabe!$AJ$31:$BD$48)*(Ergebniseingabe!$BH$31:$BH$48))</f>
        <v>0</v>
      </c>
      <c r="H17" s="32">
        <f>SUMPRODUCT((F17=Ergebniseingabe!$N$31:$AH$48)*(Ergebniseingabe!$BH$31:$BH$48))+SUMPRODUCT((F17=Ergebniseingabe!$AJ$31:$BD$48)*(Ergebniseingabe!$BE$31:$BE$48))</f>
        <v>0</v>
      </c>
      <c r="I17" s="32">
        <f>(SUMPRODUCT((F17=Ergebniseingabe!$N$31:$AH$48)*((Ergebniseingabe!$BE$31:$BE$48)&gt;(Ergebniseingabe!$BH$31:$BH$48)))+SUMPRODUCT((F17=Ergebniseingabe!$AJ$31:$BD$48)*((Ergebniseingabe!$BH$31:$BH$48)&gt;(Ergebniseingabe!$BE$31:$BE$48))))*3+SUMPRODUCT(((F17=Ergebniseingabe!$N$31:$AH$48)+(F17=Ergebniseingabe!$AJ$31:$BD$48))*((Ergebniseingabe!$BH$31:$BH$48)=(Ergebniseingabe!$BE$31:$BE$48))*NOT(ISBLANK(Ergebniseingabe!$BE$31:$BE$48)))</f>
        <v>0</v>
      </c>
      <c r="J17" s="65">
        <f>G17-H17</f>
        <v>0</v>
      </c>
      <c r="K17" s="137">
        <f>AC17+AI17+AO17</f>
        <v>0</v>
      </c>
      <c r="L17" s="32">
        <f>SUMPRODUCT((Ergebniseingabe!$N$31:$AH$48=F17)*(Ergebniseingabe!$BE$31:$BE$48&lt;&gt;""))+SUMPRODUCT((Ergebniseingabe!$AJ$31:$BD$48=F17)*(Ergebniseingabe!$BH$31:$BH$48&lt;&gt;""))</f>
        <v>0</v>
      </c>
      <c r="M17" s="32">
        <f>SUMPRODUCT((Ergebniseingabe!$N$31:$AH$48=F17)*(Ergebniseingabe!$BE$31:$BE$48&gt;Ergebniseingabe!$BH$31:$BH$48))+SUMPRODUCT((Ergebniseingabe!$AJ$31:$BD$48=F17)*(Ergebniseingabe!$BE$31:$BE$48&lt;Ergebniseingabe!$BH$31:$BH$48))</f>
        <v>0</v>
      </c>
      <c r="N17" s="32">
        <f>SUMPRODUCT((Ergebniseingabe!$N$31:$BD$48=F17)*(Ergebniseingabe!$BE$31:$BE$48=Ergebniseingabe!$BH$31:$BH$48)*(Ergebniseingabe!$BE$31:$BE$48&lt;&gt;"")*(Ergebniseingabe!$BH$31:$BH$48&lt;&gt;""))</f>
        <v>0</v>
      </c>
      <c r="O17" s="32">
        <f>SUMPRODUCT((Ergebniseingabe!$N$31:$AH$48=F17)*(Ergebniseingabe!$BE$31:$BE$48&lt;Ergebniseingabe!$BH$31:$BH$48))+SUMPRODUCT((Ergebniseingabe!$AJ$31:$BD$48=F17)*(Ergebniseingabe!$BE$31:$BE$48&gt;Ergebniseingabe!$BH$31:$BH$48))</f>
        <v>0</v>
      </c>
      <c r="P17" s="32"/>
      <c r="Q17" s="119" t="str">
        <f>F17</f>
        <v>1. FC Quadrath Ichendorf</v>
      </c>
      <c r="R17" s="121">
        <f>IF(AND(Q17&amp;$R$14=VLOOKUP(Q17&amp;$R$14,$C$44:$H$79,1,0),VLOOKUP(Q17&amp;$R$14,$C$44:$H$79,6,0)&lt;&gt;""),VLOOKUP(Q17&amp;$R$14,$C$44:$H$79,6,0),)</f>
        <v>0</v>
      </c>
      <c r="S17" s="121">
        <f>IF(AND(Q17&amp;$S$14=VLOOKUP(Q17&amp;$S$14,$C$44:$H$79,1,0),VLOOKUP(Q17&amp;$S$14,$C$44:$H$79,6,0)&lt;&gt;""),VLOOKUP(Q17&amp;$S$14,$C$44:$H$79,6,0),)</f>
        <v>0</v>
      </c>
      <c r="T17" s="120"/>
      <c r="U17" s="121">
        <f>IF(AND(Q17&amp;$U$14=VLOOKUP(Q17&amp;$U$14,$C$44:$H$79,1,0),VLOOKUP(Q17&amp;$U$14,$C$44:$H$79,6,0)&lt;&gt;""),VLOOKUP(Q17&amp;$U$14,$C$44:$H$79,6,0),)</f>
        <v>0</v>
      </c>
      <c r="V17" s="112"/>
      <c r="W17" s="128" t="str">
        <f>Q17</f>
        <v>1. FC Quadrath Ichendorf</v>
      </c>
      <c r="X17" s="121">
        <f>IF(AND(ISNUMBER(R17),ISNUMBER(T15)),IF(R17&gt;T15,3,IF(R17=T15,1,0)),0)</f>
        <v>1</v>
      </c>
      <c r="Y17" s="121">
        <f>IF(AND(ISNUMBER(S17),ISNUMBER(T16)),IF(S17&gt;T16,3,IF(S17=T16,1,0)),0)</f>
        <v>1</v>
      </c>
      <c r="Z17" s="120"/>
      <c r="AA17" s="121">
        <f>IF(AND(ISNUMBER(U17),ISNUMBER(T18)),IF(U17&gt;T18,3,IF(U17=T18,1,0)),0)</f>
        <v>1</v>
      </c>
      <c r="AB17" s="112"/>
      <c r="AC17" s="122">
        <f>I17*100000+J17*1000+G17</f>
        <v>0</v>
      </c>
      <c r="AD17" s="130">
        <f>COUNTIF(AC15:AC18,AC17)</f>
        <v>4</v>
      </c>
      <c r="AE17" s="129">
        <f>IF(AD17=1,"x","")</f>
      </c>
      <c r="AF17" s="112"/>
      <c r="AG17" s="123">
        <f>IF(AE17="x",3,IF(AC18=AC17,4,IF(AC16=AC17,2,1)))</f>
        <v>4</v>
      </c>
      <c r="AH17" s="116">
        <f>INDEX(X17:AA17,1,AG17)</f>
        <v>1</v>
      </c>
      <c r="AI17" s="124">
        <f>IF(OR($AD$19=2,$AD$19=4),AH17/10,0)</f>
        <v>0</v>
      </c>
      <c r="AJ17" s="115"/>
      <c r="AK17" s="125"/>
      <c r="AL17" s="116" t="e">
        <f>I17-INDEX(X17:AA17,1,$AK$14)-AR17-AW17</f>
        <v>#N/A</v>
      </c>
      <c r="AM17" s="116" t="e">
        <f>J17-INDEX(R17:U17,1,$AK$14)-INDEX(R17:R20,$AK$14,1)-ABS(AS17)-ABS(AX17)</f>
        <v>#N/A</v>
      </c>
      <c r="AN17" s="116" t="e">
        <f>G17-INDEX(R17:U17,1,$AK$14)-AT17-AY17</f>
        <v>#N/A</v>
      </c>
      <c r="AO17" s="126">
        <f>IF(OR($AD$19&lt;&gt;3,AE17="x"),0,AL17/10+AM17/1000+AN17/100000)</f>
        <v>0</v>
      </c>
      <c r="AP17" s="115"/>
      <c r="AQ17" s="127"/>
      <c r="AR17" s="116">
        <f>IF(ISNA($AQ$14),0,INDEX(X17:AA17,1,$AQ$14))</f>
        <v>0</v>
      </c>
      <c r="AS17" s="116">
        <f>IF(ISNA($AQ$14),0,(INDEX(R17:U17,1,$AQ$14)-INDEX(R17:R20,$AQ$14,1)))</f>
        <v>0</v>
      </c>
      <c r="AT17" s="116">
        <f>IF(ISNA($AQ$14),0,INDEX(R17:U17,1,$AQ$14))</f>
        <v>0</v>
      </c>
      <c r="AU17" s="114"/>
      <c r="AV17" s="127"/>
      <c r="AW17" s="116">
        <f>IF(ISNA($AV$14),0,INDEX(X17:AA17,1,$AV$14))</f>
        <v>0</v>
      </c>
      <c r="AX17" s="116">
        <f>IF(ISNA($AV$14),0,(INDEX(R17:U17,1,$AV$14)-INDEX(T15:T18,$AV$14,1)))</f>
        <v>0</v>
      </c>
      <c r="AY17" s="116">
        <f>IF(ISNA($AV$14),0,INDEX(R17:U17,1,$AV$14))</f>
        <v>0</v>
      </c>
      <c r="BU17" s="4"/>
      <c r="BV17" s="5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2:147" s="3" customFormat="1" ht="12.75">
      <c r="B18" s="32">
        <v>4</v>
      </c>
      <c r="C18" s="5">
        <f>RANK(D18,$D$15:$D$18,1)</f>
        <v>4</v>
      </c>
      <c r="D18" s="5">
        <f>E18+ROW()/1000</f>
        <v>1.018</v>
      </c>
      <c r="E18" s="5">
        <f>RANK(K18,$K$15:$K$18)</f>
        <v>1</v>
      </c>
      <c r="F18" s="32" t="str">
        <f>VLOOKUP(B18,Ergebniseingabe!$X$16:$AS$19,2,0)</f>
        <v>SC Blau-Weiß 06 Köln</v>
      </c>
      <c r="G18" s="32">
        <f>SUMPRODUCT((F18=Ergebniseingabe!$N$31:$AH$48)*(Ergebniseingabe!$BE$31:$BE$48))+SUMPRODUCT((F18=Ergebniseingabe!$AJ$31:$BD$48)*(Ergebniseingabe!$BH$31:$BH$48))</f>
        <v>0</v>
      </c>
      <c r="H18" s="32">
        <f>SUMPRODUCT((F18=Ergebniseingabe!$N$31:$AH$48)*(Ergebniseingabe!$BH$31:$BH$48))+SUMPRODUCT((F18=Ergebniseingabe!$AJ$31:$BD$48)*(Ergebniseingabe!$BE$31:$BE$48))</f>
        <v>0</v>
      </c>
      <c r="I18" s="32">
        <f>(SUMPRODUCT((F18=Ergebniseingabe!$N$31:$AH$48)*((Ergebniseingabe!$BE$31:$BE$48)&gt;(Ergebniseingabe!$BH$31:$BH$48)))+SUMPRODUCT((F18=Ergebniseingabe!$AJ$31:$BD$48)*((Ergebniseingabe!$BH$31:$BH$48)&gt;(Ergebniseingabe!$BE$31:$BE$48))))*3+SUMPRODUCT(((F18=Ergebniseingabe!$N$31:$AH$48)+(F18=Ergebniseingabe!$AJ$31:$BD$48))*((Ergebniseingabe!$BH$31:$BH$48)=(Ergebniseingabe!$BE$31:$BE$48))*NOT(ISBLANK(Ergebniseingabe!$BE$31:$BE$48)))</f>
        <v>0</v>
      </c>
      <c r="J18" s="65">
        <f>G18-H18</f>
        <v>0</v>
      </c>
      <c r="K18" s="137">
        <f>AC18+AI18+AO18</f>
        <v>0</v>
      </c>
      <c r="L18" s="32">
        <f>SUMPRODUCT((Ergebniseingabe!$N$31:$AH$48=F18)*(Ergebniseingabe!$BE$31:$BE$48&lt;&gt;""))+SUMPRODUCT((Ergebniseingabe!$AJ$31:$BD$48=F18)*(Ergebniseingabe!$BH$31:$BH$48&lt;&gt;""))</f>
        <v>0</v>
      </c>
      <c r="M18" s="32">
        <f>SUMPRODUCT((Ergebniseingabe!$N$31:$AH$48=F18)*(Ergebniseingabe!$BE$31:$BE$48&gt;Ergebniseingabe!$BH$31:$BH$48))+SUMPRODUCT((Ergebniseingabe!$AJ$31:$BD$48=F18)*(Ergebniseingabe!$BE$31:$BE$48&lt;Ergebniseingabe!$BH$31:$BH$48))</f>
        <v>0</v>
      </c>
      <c r="N18" s="32">
        <f>SUMPRODUCT((Ergebniseingabe!$N$31:$BD$48=F18)*(Ergebniseingabe!$BE$31:$BE$48=Ergebniseingabe!$BH$31:$BH$48)*(Ergebniseingabe!$BE$31:$BE$48&lt;&gt;"")*(Ergebniseingabe!$BH$31:$BH$48&lt;&gt;""))</f>
        <v>0</v>
      </c>
      <c r="O18" s="32">
        <f>SUMPRODUCT((Ergebniseingabe!$N$31:$AH$48=F18)*(Ergebniseingabe!$BE$31:$BE$48&lt;Ergebniseingabe!$BH$31:$BH$48))+SUMPRODUCT((Ergebniseingabe!$AJ$31:$BD$48=F18)*(Ergebniseingabe!$BE$31:$BE$48&gt;Ergebniseingabe!$BH$31:$BH$48))</f>
        <v>0</v>
      </c>
      <c r="P18" s="32"/>
      <c r="Q18" s="131" t="str">
        <f>F18</f>
        <v>SC Blau-Weiß 06 Köln</v>
      </c>
      <c r="R18" s="121">
        <f>IF(AND(Q18&amp;$R$14=VLOOKUP(Q18&amp;$R$14,$C$44:$H$79,1,0),VLOOKUP(Q18&amp;$R$14,$C$44:$H$79,6,0)&lt;&gt;""),VLOOKUP(Q18&amp;$R$14,$C$44:$H$79,6,0),)</f>
        <v>0</v>
      </c>
      <c r="S18" s="121">
        <f>IF(AND(Q18&amp;$S$14=VLOOKUP(Q18&amp;$S$14,$C$44:$H$79,1,0),VLOOKUP(Q18&amp;$S$14,$C$44:$H$79,6,0)&lt;&gt;""),VLOOKUP(Q18&amp;$S$14,$C$44:$H$79,6,0),)</f>
        <v>0</v>
      </c>
      <c r="T18" s="121">
        <f>IF(AND(Q18&amp;$T$14=VLOOKUP(Q18&amp;$T$14,$C$44:$H$79,1,0),VLOOKUP(Q18&amp;$T$14,$C$44:$H$79,6,0)&lt;&gt;""),VLOOKUP(Q18&amp;$T$14,$C$44:$H$79,6,0),)</f>
        <v>0</v>
      </c>
      <c r="U18" s="120"/>
      <c r="V18" s="112"/>
      <c r="W18" s="132" t="str">
        <f>Q18</f>
        <v>SC Blau-Weiß 06 Köln</v>
      </c>
      <c r="X18" s="121">
        <f>IF(AND(ISNUMBER(R18),ISNUMBER(U15)),IF(R18&gt;U15,3,IF(R18=U15,1,0)),0)</f>
        <v>1</v>
      </c>
      <c r="Y18" s="121">
        <f>IF(AND(ISNUMBER(S18),ISNUMBER(U16)),IF(S18&gt;U16,3,IF(S18=U16,1,0)),0)</f>
        <v>1</v>
      </c>
      <c r="Z18" s="121">
        <f>IF(AND(ISNUMBER(T18),ISNUMBER(U17)),IF(T18&gt;U17,3,IF(T18=U17,1,0)),0)</f>
        <v>1</v>
      </c>
      <c r="AA18" s="120"/>
      <c r="AB18" s="112"/>
      <c r="AC18" s="122">
        <f>I18*100000+J18*1000+G18</f>
        <v>0</v>
      </c>
      <c r="AD18" s="133">
        <f>COUNTIF(AC15:AC18,AC18)</f>
        <v>4</v>
      </c>
      <c r="AE18" s="133">
        <f>IF(AD18=1,"x","")</f>
      </c>
      <c r="AF18" s="112"/>
      <c r="AG18" s="123">
        <f>IF(AE18="x",4,IF(AC15=AC18,1,IF(AC16=AC18,2,3)))</f>
        <v>1</v>
      </c>
      <c r="AH18" s="116">
        <f>INDEX(X18:AA18,1,AG18)</f>
        <v>1</v>
      </c>
      <c r="AI18" s="124">
        <f>IF(OR($AD$19=2,$AD$19=4),AH18/10,0)</f>
        <v>0</v>
      </c>
      <c r="AJ18" s="115"/>
      <c r="AK18" s="114"/>
      <c r="AL18" s="116" t="e">
        <f>I18-INDEX(X18:AA18,1,$AK$14)-AR18-AW18</f>
        <v>#N/A</v>
      </c>
      <c r="AM18" s="116" t="e">
        <f>J18-INDEX(R18:U18,1,$AK$14)-INDEX(R18:R21,$AK$14,1)-ABS(AS18)-ABS(AX18)</f>
        <v>#N/A</v>
      </c>
      <c r="AN18" s="116" t="e">
        <f>G18-INDEX(R18:U18,1,$AK$14)-AT18-AY18</f>
        <v>#N/A</v>
      </c>
      <c r="AO18" s="126">
        <f>IF(OR($AD$19&lt;&gt;3,AE18="x"),0,AL18/10+AM18/1000+AN18/100000)</f>
        <v>0</v>
      </c>
      <c r="AP18" s="115"/>
      <c r="AQ18" s="127"/>
      <c r="AR18" s="116">
        <f>IF(ISNA($AQ$14),0,INDEX(X18:AA18,1,$AQ$14))</f>
        <v>0</v>
      </c>
      <c r="AS18" s="116">
        <f>IF(ISNA($AQ$14),0,(INDEX(R18:U18,1,$AQ$14)-INDEX(R18:R21,$AQ$14,1)))</f>
        <v>0</v>
      </c>
      <c r="AT18" s="116">
        <f>IF(ISNA($AQ$14),0,INDEX(R18:U18,1,$AQ$14))</f>
        <v>0</v>
      </c>
      <c r="AU18" s="114"/>
      <c r="AV18" s="127"/>
      <c r="AW18" s="116">
        <f>IF(ISNA($AV$14),0,INDEX(X18:AA18,1,$AV$14))</f>
        <v>0</v>
      </c>
      <c r="AX18" s="116">
        <f>IF(ISNA($AV$14),0,(INDEX(R18:U18,1,$AV$14)-INDEX(U15:U18,$AV$14,1)))</f>
        <v>0</v>
      </c>
      <c r="AY18" s="116">
        <f>IF(ISNA($AV$14),0,INDEX(R18:U18,1,$AV$14))</f>
        <v>0</v>
      </c>
      <c r="BU18" s="4"/>
      <c r="BV18" s="5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2:154" s="3" customFormat="1" ht="36">
      <c r="B19" s="32">
        <f>COUNT(B15:B18)*(COUNT(B15:B18)-1)</f>
        <v>12</v>
      </c>
      <c r="C19" s="5"/>
      <c r="D19" s="5"/>
      <c r="E19" s="5">
        <f>COUNTIF($E$15:$E$18,1)</f>
        <v>4</v>
      </c>
      <c r="F19" s="32"/>
      <c r="G19" s="65"/>
      <c r="H19" s="65"/>
      <c r="I19" s="65"/>
      <c r="J19" s="65"/>
      <c r="K19" s="32"/>
      <c r="L19" s="65">
        <f>SUM(L15:L18)</f>
        <v>0</v>
      </c>
      <c r="M19" s="65"/>
      <c r="N19" s="65"/>
      <c r="O19" s="65"/>
      <c r="P19" s="3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34" t="s">
        <v>59</v>
      </c>
      <c r="AD19" s="135">
        <f>MOD(MIN(AD15:AD18)*MAX(AD15:AD18),11)</f>
        <v>5</v>
      </c>
      <c r="AE19" s="117"/>
      <c r="AF19" s="112"/>
      <c r="AG19" s="125"/>
      <c r="AH19" s="114"/>
      <c r="AI19" s="114"/>
      <c r="AJ19" s="115"/>
      <c r="AK19" s="125"/>
      <c r="AL19" s="136" t="s">
        <v>38</v>
      </c>
      <c r="AM19" s="136" t="s">
        <v>39</v>
      </c>
      <c r="AN19" s="136" t="s">
        <v>60</v>
      </c>
      <c r="AO19" s="117"/>
      <c r="AP19" s="115"/>
      <c r="AQ19" s="117"/>
      <c r="AR19" s="136" t="s">
        <v>38</v>
      </c>
      <c r="AS19" s="136" t="s">
        <v>39</v>
      </c>
      <c r="AT19" s="136" t="s">
        <v>60</v>
      </c>
      <c r="AU19" s="117"/>
      <c r="AV19" s="117"/>
      <c r="AW19" s="136" t="s">
        <v>38</v>
      </c>
      <c r="AX19" s="136" t="s">
        <v>39</v>
      </c>
      <c r="AY19" s="136" t="s">
        <v>60</v>
      </c>
      <c r="BU19" s="4"/>
      <c r="BV19" s="5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</row>
    <row r="20" spans="2:154" s="3" customFormat="1" ht="12.75">
      <c r="B20" s="5"/>
      <c r="C20" s="5"/>
      <c r="D20" s="5"/>
      <c r="E20" s="5">
        <f>COUNTIF($E$15:$E$18,2)</f>
        <v>0</v>
      </c>
      <c r="F20" s="5"/>
      <c r="G20" s="5"/>
      <c r="H20" s="5"/>
      <c r="I20" s="5"/>
      <c r="J20" s="5"/>
      <c r="K20" s="85"/>
      <c r="L20" s="85"/>
      <c r="M20" s="65"/>
      <c r="N20" s="65"/>
      <c r="O20" s="65"/>
      <c r="P20" s="32"/>
      <c r="Q20" s="32"/>
      <c r="R20" s="32"/>
      <c r="S20" s="32"/>
      <c r="T20" s="32"/>
      <c r="BS20" s="4"/>
      <c r="BT20" s="5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</row>
    <row r="21" spans="2:154" s="3" customFormat="1" ht="12.75">
      <c r="B21" s="5"/>
      <c r="C21" s="5"/>
      <c r="D21" s="5"/>
      <c r="E21" s="5">
        <f>COUNTIF($E$15:$E$18,3)</f>
        <v>0</v>
      </c>
      <c r="F21" s="5"/>
      <c r="G21" s="5"/>
      <c r="H21" s="5"/>
      <c r="I21" s="5"/>
      <c r="J21" s="5"/>
      <c r="K21" s="85"/>
      <c r="L21" s="85"/>
      <c r="M21" s="65"/>
      <c r="N21" s="65"/>
      <c r="O21" s="65"/>
      <c r="P21" s="32"/>
      <c r="Q21" s="32"/>
      <c r="R21" s="32"/>
      <c r="S21" s="32"/>
      <c r="T21" s="32"/>
      <c r="BS21" s="4"/>
      <c r="BT21" s="5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</row>
    <row r="22" spans="2:154" s="3" customFormat="1" ht="12.75">
      <c r="B22" s="5"/>
      <c r="C22" s="5"/>
      <c r="D22" s="5"/>
      <c r="E22" s="5">
        <f>COUNTIF($E$15:$E$18,4)</f>
        <v>0</v>
      </c>
      <c r="F22" s="5"/>
      <c r="G22" s="5"/>
      <c r="H22" s="5"/>
      <c r="I22" s="5"/>
      <c r="J22" s="5"/>
      <c r="K22" s="85"/>
      <c r="L22" s="85"/>
      <c r="M22" s="65"/>
      <c r="N22" s="65"/>
      <c r="O22" s="65"/>
      <c r="P22" s="32"/>
      <c r="Q22" s="32"/>
      <c r="R22" s="32"/>
      <c r="S22" s="32"/>
      <c r="T22" s="32"/>
      <c r="BS22" s="4"/>
      <c r="BT22" s="5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</row>
    <row r="23" spans="2:154" s="3" customFormat="1" ht="12.75">
      <c r="B23" s="5"/>
      <c r="C23" s="5"/>
      <c r="D23" s="5"/>
      <c r="E23" s="5"/>
      <c r="F23" s="5"/>
      <c r="G23" s="5"/>
      <c r="H23" s="5"/>
      <c r="I23" s="5"/>
      <c r="J23" s="5"/>
      <c r="K23" s="85"/>
      <c r="L23" s="85"/>
      <c r="M23" s="65"/>
      <c r="N23" s="65"/>
      <c r="O23" s="65"/>
      <c r="P23" s="32"/>
      <c r="Q23" s="32"/>
      <c r="R23" s="32"/>
      <c r="S23" s="32"/>
      <c r="T23" s="32"/>
      <c r="BS23" s="4"/>
      <c r="BT23" s="5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</row>
    <row r="24" spans="2:154" s="3" customFormat="1" ht="100.5">
      <c r="B24" s="109" t="s">
        <v>8</v>
      </c>
      <c r="C24" s="5"/>
      <c r="D24" s="5"/>
      <c r="E24" s="5"/>
      <c r="F24" s="5"/>
      <c r="G24" s="5"/>
      <c r="H24" s="5"/>
      <c r="I24" s="5"/>
      <c r="J24" s="32"/>
      <c r="K24" s="32"/>
      <c r="L24" s="85"/>
      <c r="M24" s="65"/>
      <c r="N24" s="65"/>
      <c r="O24" s="65"/>
      <c r="P24" s="32"/>
      <c r="Q24" s="110" t="s">
        <v>23</v>
      </c>
      <c r="R24" s="111" t="str">
        <f>Q25</f>
        <v>SV Rosellen 2</v>
      </c>
      <c r="S24" s="111" t="str">
        <f>Q26</f>
        <v>SG Orken-Noithausen</v>
      </c>
      <c r="T24" s="111" t="str">
        <f>Q27</f>
        <v>SSV Strümp</v>
      </c>
      <c r="U24" s="111" t="str">
        <f>Q28</f>
        <v>DJK Hoisten</v>
      </c>
      <c r="V24" s="112"/>
      <c r="W24" s="110" t="s">
        <v>38</v>
      </c>
      <c r="X24" s="111" t="str">
        <f>W25</f>
        <v>SV Rosellen 2</v>
      </c>
      <c r="Y24" s="111" t="str">
        <f>W26</f>
        <v>SG Orken-Noithausen</v>
      </c>
      <c r="Z24" s="111" t="str">
        <f>W27</f>
        <v>SSV Strümp</v>
      </c>
      <c r="AA24" s="111" t="str">
        <f>W28</f>
        <v>DJK Hoisten</v>
      </c>
      <c r="AB24" s="112"/>
      <c r="AC24" s="112"/>
      <c r="AD24" s="112"/>
      <c r="AE24" s="112"/>
      <c r="AF24" s="112"/>
      <c r="AG24" s="113"/>
      <c r="AH24" s="114"/>
      <c r="AI24" s="114"/>
      <c r="AJ24" s="115"/>
      <c r="AK24" s="116" t="e">
        <f>MATCH(1,AD25:AD28,0)</f>
        <v>#N/A</v>
      </c>
      <c r="AL24" s="60"/>
      <c r="AM24" s="117"/>
      <c r="AN24" s="117"/>
      <c r="AO24" s="117"/>
      <c r="AP24" s="115"/>
      <c r="AQ24" s="118" t="e">
        <f ca="1">MATCH(1,OFFSET($AD$25:$AD$28,AK24,0),0)+AK24</f>
        <v>#N/A</v>
      </c>
      <c r="AR24" s="117"/>
      <c r="AS24" s="117"/>
      <c r="AT24" s="117"/>
      <c r="AU24" s="117"/>
      <c r="AV24" s="118" t="e">
        <f ca="1">MATCH(1,OFFSET($AD$25:$AD$28,AQ24,0),0)+AQ24</f>
        <v>#N/A</v>
      </c>
      <c r="AW24" s="117"/>
      <c r="AX24" s="117"/>
      <c r="AY24" s="117"/>
      <c r="BS24" s="4"/>
      <c r="BT24" s="5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</row>
    <row r="25" spans="2:152" s="3" customFormat="1" ht="12.75">
      <c r="B25" s="32">
        <v>1</v>
      </c>
      <c r="C25" s="5">
        <f>RANK(D25,$D$25:$D$28,1)</f>
        <v>1</v>
      </c>
      <c r="D25" s="5">
        <f>E25+ROW()/1000</f>
        <v>1.025</v>
      </c>
      <c r="E25" s="5">
        <f>RANK(K25,$K$25:$K$28)</f>
        <v>1</v>
      </c>
      <c r="F25" s="32" t="str">
        <f>VLOOKUP(B25,Ergebniseingabe!$L$22:$AG$25,2,0)</f>
        <v>SV Rosellen 2</v>
      </c>
      <c r="G25" s="32">
        <f>SUMPRODUCT((F25=Ergebniseingabe!$N$31:$AH$48)*(Ergebniseingabe!$BE$31:$BE$48))+SUMPRODUCT((F25=Ergebniseingabe!$AJ$31:$BD$48)*(Ergebniseingabe!$BH$31:$BH$48))</f>
        <v>0</v>
      </c>
      <c r="H25" s="32">
        <f>SUMPRODUCT((F25=Ergebniseingabe!$N$31:$AH$48)*(Ergebniseingabe!$BH$31:$BH$48))+SUMPRODUCT((F25=Ergebniseingabe!$AJ$31:$BD$48)*(Ergebniseingabe!$BE$31:$BE$48))</f>
        <v>0</v>
      </c>
      <c r="I25" s="32">
        <f>(SUMPRODUCT((F25=Ergebniseingabe!$N$31:$AH$48)*((Ergebniseingabe!$BE$31:$BE$48)&gt;(Ergebniseingabe!$BH$31:$BH$48)))+SUMPRODUCT((F25=Ergebniseingabe!$AJ$31:$BD$48)*((Ergebniseingabe!$BH$31:$BH$48)&gt;(Ergebniseingabe!$BE$31:$BE$48))))*3+SUMPRODUCT(((F25=Ergebniseingabe!$N$31:$AH$48)+(F25=Ergebniseingabe!$AJ$31:$BD$48))*((Ergebniseingabe!$BH$31:$BH$48)=(Ergebniseingabe!$BE$31:$BE$48))*NOT(ISBLANK(Ergebniseingabe!$BE$31:$BE$48)))</f>
        <v>0</v>
      </c>
      <c r="J25" s="65">
        <f>G25-H25</f>
        <v>0</v>
      </c>
      <c r="K25" s="137">
        <f>AC25+AI25+AO25</f>
        <v>0</v>
      </c>
      <c r="L25" s="32">
        <f>SUMPRODUCT((Ergebniseingabe!$N$31:$AH$48=F25)*(Ergebniseingabe!$BE$31:$BE$48&lt;&gt;""))+SUMPRODUCT((Ergebniseingabe!$AJ$31:$BD$48=F25)*(Ergebniseingabe!$BH$31:$BH$48&lt;&gt;""))</f>
        <v>0</v>
      </c>
      <c r="M25" s="32">
        <f>SUMPRODUCT((Ergebniseingabe!$N$31:$AH$48=F25)*(Ergebniseingabe!$BE$31:$BE$48&gt;Ergebniseingabe!$BH$31:$BH$48))+SUMPRODUCT((Ergebniseingabe!$AJ$31:$BD$48=F25)*(Ergebniseingabe!$BE$31:$BE$48&lt;Ergebniseingabe!$BH$31:$BH$48))</f>
        <v>0</v>
      </c>
      <c r="N25" s="32">
        <f>SUMPRODUCT((Ergebniseingabe!$N$31:$BD$48=F25)*(Ergebniseingabe!$BE$31:$BE$48=Ergebniseingabe!$BH$31:$BH$48)*(Ergebniseingabe!$BE$31:$BE$48&lt;&gt;"")*(Ergebniseingabe!$BH$31:$BH$48&lt;&gt;""))</f>
        <v>0</v>
      </c>
      <c r="O25" s="32">
        <f>SUMPRODUCT((Ergebniseingabe!$N$31:$AH$48=F25)*(Ergebniseingabe!$BE$31:$BE$48&lt;Ergebniseingabe!$BH$31:$BH$48))+SUMPRODUCT((Ergebniseingabe!$AJ$31:$BD$48=F25)*(Ergebniseingabe!$BE$31:$BE$48&gt;Ergebniseingabe!$BH$31:$BH$48))</f>
        <v>0</v>
      </c>
      <c r="P25" s="32"/>
      <c r="Q25" s="119" t="str">
        <f>F25</f>
        <v>SV Rosellen 2</v>
      </c>
      <c r="R25" s="120"/>
      <c r="S25" s="121">
        <f>IF(AND(Q25&amp;$S$24=VLOOKUP(Q25&amp;$S$24,$C$44:$H$79,1,0),VLOOKUP(Q25&amp;$S$24,$C$44:$H$79,6,0)&lt;&gt;""),VLOOKUP(Q25&amp;$S$24,$C$44:$H$79,6,0),)</f>
        <v>0</v>
      </c>
      <c r="T25" s="121">
        <f>IF(AND(Q25&amp;$T$24=VLOOKUP(Q25&amp;$T$24,$C$44:$H$79,1,0),VLOOKUP(Q25&amp;$T$24,$C$44:$H$79,6,0)&lt;&gt;""),VLOOKUP(Q25&amp;$T$24,$C$44:$H$79,6,0),)</f>
        <v>0</v>
      </c>
      <c r="U25" s="121">
        <f>IF(AND(Q25&amp;$U$24=VLOOKUP(Q25&amp;$U$24,$C$44:$H$79,1,0),VLOOKUP(Q25&amp;$U$24,$C$44:$H$79,6,0)&lt;&gt;""),VLOOKUP(Q25&amp;$U$24,$C$44:$H$79,6,0),)</f>
        <v>0</v>
      </c>
      <c r="V25" s="112"/>
      <c r="W25" s="119" t="str">
        <f>Q25</f>
        <v>SV Rosellen 2</v>
      </c>
      <c r="X25" s="120"/>
      <c r="Y25" s="121">
        <f>IF(AND(ISNUMBER(S25),ISNUMBER(R26)),IF(S25&gt;R26,3,IF(S25=R26,1,0)),0)</f>
        <v>1</v>
      </c>
      <c r="Z25" s="121">
        <f>IF(AND(ISNUMBER(T25),ISNUMBER(R27)),IF(T25&gt;R27,3,IF(T25=R27,1,0)),0)</f>
        <v>1</v>
      </c>
      <c r="AA25" s="121">
        <f>IF(AND(ISNUMBER(U25),ISNUMBER(R28)),IF(U25&gt;R28,3,IF(U25=R28,1,0)),0)</f>
        <v>1</v>
      </c>
      <c r="AB25" s="112"/>
      <c r="AC25" s="122">
        <f>I25*100000+J25*1000+G25</f>
        <v>0</v>
      </c>
      <c r="AD25" s="122">
        <f>COUNTIF(AC25:AC28,AC25)</f>
        <v>4</v>
      </c>
      <c r="AE25" s="122">
        <f>IF(AD25=1,"x","")</f>
      </c>
      <c r="AF25" s="112"/>
      <c r="AG25" s="123">
        <f>IF(AE25="x",1,IF(AC26=AC25,2,IF(AC27=AC25,3,4)))</f>
        <v>2</v>
      </c>
      <c r="AH25" s="116">
        <f>INDEX(X25:AA25,1,AG25)</f>
        <v>1</v>
      </c>
      <c r="AI25" s="124">
        <f>IF(OR($AD$29=2,$AD$29=4),AH25/10,0)</f>
        <v>0</v>
      </c>
      <c r="AJ25" s="115"/>
      <c r="AK25" s="125"/>
      <c r="AL25" s="116" t="e">
        <f>I25-INDEX(X25:AA25,1,$AK$24)-AR25-AW25</f>
        <v>#N/A</v>
      </c>
      <c r="AM25" s="116" t="e">
        <f>J25-INDEX(R25:U25,1,$AK$24)-INDEX(R25:R28,$AK$24,1)-ABS(AS25)-ABS(AX25)</f>
        <v>#N/A</v>
      </c>
      <c r="AN25" s="116" t="e">
        <f>G25-INDEX(R25:U25,1,$AK$24)-AT25-AY25</f>
        <v>#N/A</v>
      </c>
      <c r="AO25" s="126">
        <f>IF(OR($AD$29&lt;&gt;3,AE25="x"),0,AL25/10+AM25/1000+AN25/100000)</f>
        <v>0</v>
      </c>
      <c r="AP25" s="115"/>
      <c r="AQ25" s="127"/>
      <c r="AR25" s="116">
        <f>IF(ISNA($AQ$24),0,INDEX(X25:AA25,1,$AQ$24))</f>
        <v>0</v>
      </c>
      <c r="AS25" s="116">
        <f>IF(ISNA($AQ$24),0,(INDEX(R25:U25,1,$AQ$24)-INDEX(R25:R28,$AQ$24,1)))</f>
        <v>0</v>
      </c>
      <c r="AT25" s="116">
        <f>IF(ISNA($AQ$24),0,INDEX(R25:U25,1,$AQ$24))</f>
        <v>0</v>
      </c>
      <c r="AU25" s="114"/>
      <c r="AV25" s="127"/>
      <c r="AW25" s="116">
        <f>IF(ISNA($AV$24),0,INDEX(X25:AA25,1,$AV$24))</f>
        <v>0</v>
      </c>
      <c r="AX25" s="116">
        <f>IF(ISNA($AV$24),0,(INDEX(R25:U25,1,$AV$24)-INDEX(R25:R28,$AV$24,1)))</f>
        <v>0</v>
      </c>
      <c r="AY25" s="116">
        <f>IF(ISNA($AV$24),0,INDEX(R25:U25,1,$AV$24))</f>
        <v>0</v>
      </c>
      <c r="BS25" s="4"/>
      <c r="BT25" s="5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</row>
    <row r="26" spans="2:152" s="3" customFormat="1" ht="12.75">
      <c r="B26" s="32">
        <v>2</v>
      </c>
      <c r="C26" s="5">
        <f>RANK(D26,$D$25:$D$28,1)</f>
        <v>2</v>
      </c>
      <c r="D26" s="5">
        <f>E26+ROW()/1000</f>
        <v>1.026</v>
      </c>
      <c r="E26" s="5">
        <f>RANK(K26,$K$25:$K$28)</f>
        <v>1</v>
      </c>
      <c r="F26" s="32" t="str">
        <f>VLOOKUP(B26,Ergebniseingabe!$L$22:$AG$25,2,0)</f>
        <v>SG Orken-Noithausen</v>
      </c>
      <c r="G26" s="32">
        <f>SUMPRODUCT((F26=Ergebniseingabe!$N$31:$AH$48)*(Ergebniseingabe!$BE$31:$BE$48))+SUMPRODUCT((F26=Ergebniseingabe!$AJ$31:$BD$48)*(Ergebniseingabe!$BH$31:$BH$48))</f>
        <v>0</v>
      </c>
      <c r="H26" s="32">
        <f>SUMPRODUCT((F26=Ergebniseingabe!$N$31:$AH$48)*(Ergebniseingabe!$BH$31:$BH$48))+SUMPRODUCT((F26=Ergebniseingabe!$AJ$31:$BD$48)*(Ergebniseingabe!$BE$31:$BE$48))</f>
        <v>0</v>
      </c>
      <c r="I26" s="32">
        <f>(SUMPRODUCT((F26=Ergebniseingabe!$N$31:$AH$48)*((Ergebniseingabe!$BE$31:$BE$48)&gt;(Ergebniseingabe!$BH$31:$BH$48)))+SUMPRODUCT((F26=Ergebniseingabe!$AJ$31:$BD$48)*((Ergebniseingabe!$BH$31:$BH$48)&gt;(Ergebniseingabe!$BE$31:$BE$48))))*3+SUMPRODUCT(((F26=Ergebniseingabe!$N$31:$AH$48)+(F26=Ergebniseingabe!$AJ$31:$BD$48))*((Ergebniseingabe!$BH$31:$BH$48)=(Ergebniseingabe!$BE$31:$BE$48))*NOT(ISBLANK(Ergebniseingabe!$BE$31:$BE$48)))</f>
        <v>0</v>
      </c>
      <c r="J26" s="65">
        <f>G26-H26</f>
        <v>0</v>
      </c>
      <c r="K26" s="137">
        <f>AC26+AI26+AO26</f>
        <v>0</v>
      </c>
      <c r="L26" s="32">
        <f>SUMPRODUCT((Ergebniseingabe!$N$31:$AH$48=F26)*(Ergebniseingabe!$BE$31:$BE$48&lt;&gt;""))+SUMPRODUCT((Ergebniseingabe!$AJ$31:$BD$48=F26)*(Ergebniseingabe!$BH$31:$BH$48&lt;&gt;""))</f>
        <v>0</v>
      </c>
      <c r="M26" s="32">
        <f>SUMPRODUCT((Ergebniseingabe!$N$31:$AH$48=F26)*(Ergebniseingabe!$BE$31:$BE$48&gt;Ergebniseingabe!$BH$31:$BH$48))+SUMPRODUCT((Ergebniseingabe!$AJ$31:$BD$48=F26)*(Ergebniseingabe!$BE$31:$BE$48&lt;Ergebniseingabe!$BH$31:$BH$48))</f>
        <v>0</v>
      </c>
      <c r="N26" s="32">
        <f>SUMPRODUCT((Ergebniseingabe!$N$31:$BD$48=F26)*(Ergebniseingabe!$BE$31:$BE$48=Ergebniseingabe!$BH$31:$BH$48)*(Ergebniseingabe!$BE$31:$BE$48&lt;&gt;"")*(Ergebniseingabe!$BH$31:$BH$48&lt;&gt;""))</f>
        <v>0</v>
      </c>
      <c r="O26" s="32">
        <f>SUMPRODUCT((Ergebniseingabe!$N$31:$AH$48=F26)*(Ergebniseingabe!$BE$31:$BE$48&lt;Ergebniseingabe!$BH$31:$BH$48))+SUMPRODUCT((Ergebniseingabe!$AJ$31:$BD$48=F26)*(Ergebniseingabe!$BE$31:$BE$48&gt;Ergebniseingabe!$BH$31:$BH$48))</f>
        <v>0</v>
      </c>
      <c r="P26" s="32"/>
      <c r="Q26" s="119" t="str">
        <f>F26</f>
        <v>SG Orken-Noithausen</v>
      </c>
      <c r="R26" s="121">
        <f>IF(AND(Q26&amp;$R$24=VLOOKUP(Q26&amp;$R$24,$C$44:$H$79,1,0),VLOOKUP(Q26&amp;$R$24,$C$44:$H$79,6,0)&lt;&gt;""),VLOOKUP(Q26&amp;$R$24,$C$44:$H$79,6,0),)</f>
        <v>0</v>
      </c>
      <c r="S26" s="120"/>
      <c r="T26" s="121">
        <f>IF(AND(Q26&amp;$T$24=VLOOKUP(Q26&amp;$T$24,$C$44:$H$79,1,0),VLOOKUP(Q26&amp;$T$24,$C$44:$H$79,6,0)&lt;&gt;""),VLOOKUP(Q26&amp;$T$24,$C$44:$H$79,6,0),)</f>
        <v>0</v>
      </c>
      <c r="U26" s="121">
        <f>IF(AND(Q26&amp;$U$24=VLOOKUP(Q26&amp;$U$24,$C$44:$H$79,1,0),VLOOKUP(Q26&amp;$U$24,$C$44:$H$79,6,0)&lt;&gt;""),VLOOKUP(Q26&amp;$U$24,$C$44:$H$79,6,0),)</f>
        <v>0</v>
      </c>
      <c r="V26" s="112"/>
      <c r="W26" s="128" t="str">
        <f>Q26</f>
        <v>SG Orken-Noithausen</v>
      </c>
      <c r="X26" s="121">
        <f>IF(AND(ISNUMBER(R26),ISNUMBER(S25)),IF(R26&gt;S25,3,IF(R26=S25,1,0)),0)</f>
        <v>1</v>
      </c>
      <c r="Y26" s="120"/>
      <c r="Z26" s="121">
        <f>IF(AND(ISNUMBER(T26),ISNUMBER(S27)),IF(T26&gt;S27,3,IF(T26=S27,1,0)),0)</f>
        <v>1</v>
      </c>
      <c r="AA26" s="121">
        <f>IF(AND(ISNUMBER(U26),ISNUMBER(S28)),IF(U26&gt;S28,3,IF(U26=S28,1,0)),0)</f>
        <v>1</v>
      </c>
      <c r="AB26" s="112"/>
      <c r="AC26" s="122">
        <f>I26*100000+J26*1000+G26</f>
        <v>0</v>
      </c>
      <c r="AD26" s="129">
        <f>COUNTIF(AC25:AC28,AC26)</f>
        <v>4</v>
      </c>
      <c r="AE26" s="129">
        <f>IF(AD26=1,"x","")</f>
      </c>
      <c r="AF26" s="112"/>
      <c r="AG26" s="123">
        <f>IF(AE26="x",2,IF(AC27=AC26,3,IF(AC28=AC26,4,1)))</f>
        <v>3</v>
      </c>
      <c r="AH26" s="116">
        <f>INDEX(X26:AA26,1,AG26)</f>
        <v>1</v>
      </c>
      <c r="AI26" s="124">
        <f>IF(OR($AD$29=2,$AD$29=4),AH26/10,0)</f>
        <v>0</v>
      </c>
      <c r="AJ26" s="115"/>
      <c r="AK26" s="125"/>
      <c r="AL26" s="116" t="e">
        <f>I26-INDEX(X26:AA26,1,$AK$24)-AR26-AW26</f>
        <v>#N/A</v>
      </c>
      <c r="AM26" s="116" t="e">
        <f>J26-INDEX(R26:U26,1,$AK$24)-INDEX(R26:R29,$AK$24,1)-ABS(AS26)-ABS(AX26)</f>
        <v>#N/A</v>
      </c>
      <c r="AN26" s="116" t="e">
        <f>G26-INDEX(R26:U26,1,$AK$24)-AT26-AY26</f>
        <v>#N/A</v>
      </c>
      <c r="AO26" s="126">
        <f>IF(OR($AD$29&lt;&gt;3,AE26="x"),0,AL26/10+AM26/1000+AN26/100000)</f>
        <v>0</v>
      </c>
      <c r="AP26" s="115"/>
      <c r="AQ26" s="127"/>
      <c r="AR26" s="116">
        <f>IF(ISNA($AQ$24),0,INDEX(X26:AA26,1,$AQ$24))</f>
        <v>0</v>
      </c>
      <c r="AS26" s="116">
        <f>IF(ISNA($AQ$24),0,(INDEX(R26:U26,1,$AQ$24)-INDEX(S25:S28,$AQ$24,1)))</f>
        <v>0</v>
      </c>
      <c r="AT26" s="116">
        <f>IF(ISNA($AQ$24),0,INDEX(R26:U26,1,$AQ$24))</f>
        <v>0</v>
      </c>
      <c r="AU26" s="114"/>
      <c r="AV26" s="127"/>
      <c r="AW26" s="116">
        <f>IF(ISNA($AV$24),0,INDEX(X26:AA26,1,$AV$24))</f>
        <v>0</v>
      </c>
      <c r="AX26" s="116">
        <f>IF(ISNA($AV$24),0,(INDEX(R26:U26,1,$AV$24)-INDEX(S25:S28,$AV$24,1)))</f>
        <v>0</v>
      </c>
      <c r="AY26" s="116">
        <f>IF(ISNA($AV$24),0,INDEX(R26:U26,1,$AV$24))</f>
        <v>0</v>
      </c>
      <c r="BS26" s="4"/>
      <c r="BT26" s="5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</row>
    <row r="27" spans="2:152" s="3" customFormat="1" ht="12.75">
      <c r="B27" s="32">
        <v>3</v>
      </c>
      <c r="C27" s="5">
        <f>RANK(D27,$D$25:$D$28,1)</f>
        <v>3</v>
      </c>
      <c r="D27" s="5">
        <f>E27+ROW()/1000</f>
        <v>1.027</v>
      </c>
      <c r="E27" s="5">
        <f>RANK(K27,$K$25:$K$28)</f>
        <v>1</v>
      </c>
      <c r="F27" s="32" t="str">
        <f>VLOOKUP(B27,Ergebniseingabe!$L$22:$AG$25,2,0)</f>
        <v>SSV Strümp</v>
      </c>
      <c r="G27" s="32">
        <f>SUMPRODUCT((F27=Ergebniseingabe!$N$31:$AH$48)*(Ergebniseingabe!$BE$31:$BE$48))+SUMPRODUCT((F27=Ergebniseingabe!$AJ$31:$BD$48)*(Ergebniseingabe!$BH$31:$BH$48))</f>
        <v>0</v>
      </c>
      <c r="H27" s="32">
        <f>SUMPRODUCT((F27=Ergebniseingabe!$N$31:$AH$48)*(Ergebniseingabe!$BH$31:$BH$48))+SUMPRODUCT((F27=Ergebniseingabe!$AJ$31:$BD$48)*(Ergebniseingabe!$BE$31:$BE$48))</f>
        <v>0</v>
      </c>
      <c r="I27" s="32">
        <f>(SUMPRODUCT((F27=Ergebniseingabe!$N$31:$AH$48)*((Ergebniseingabe!$BE$31:$BE$48)&gt;(Ergebniseingabe!$BH$31:$BH$48)))+SUMPRODUCT((F27=Ergebniseingabe!$AJ$31:$BD$48)*((Ergebniseingabe!$BH$31:$BH$48)&gt;(Ergebniseingabe!$BE$31:$BE$48))))*3+SUMPRODUCT(((F27=Ergebniseingabe!$N$31:$AH$48)+(F27=Ergebniseingabe!$AJ$31:$BD$48))*((Ergebniseingabe!$BH$31:$BH$48)=(Ergebniseingabe!$BE$31:$BE$48))*NOT(ISBLANK(Ergebniseingabe!$BE$31:$BE$48)))</f>
        <v>0</v>
      </c>
      <c r="J27" s="65">
        <f>G27-H27</f>
        <v>0</v>
      </c>
      <c r="K27" s="137">
        <f>AC27+AI27+AO27</f>
        <v>0</v>
      </c>
      <c r="L27" s="32">
        <f>SUMPRODUCT((Ergebniseingabe!$N$31:$AH$48=F27)*(Ergebniseingabe!$BE$31:$BE$48&lt;&gt;""))+SUMPRODUCT((Ergebniseingabe!$AJ$31:$BD$48=F27)*(Ergebniseingabe!$BH$31:$BH$48&lt;&gt;""))</f>
        <v>0</v>
      </c>
      <c r="M27" s="32">
        <f>SUMPRODUCT((Ergebniseingabe!$N$31:$AH$48=F27)*(Ergebniseingabe!$BE$31:$BE$48&gt;Ergebniseingabe!$BH$31:$BH$48))+SUMPRODUCT((Ergebniseingabe!$AJ$31:$BD$48=F27)*(Ergebniseingabe!$BE$31:$BE$48&lt;Ergebniseingabe!$BH$31:$BH$48))</f>
        <v>0</v>
      </c>
      <c r="N27" s="32">
        <f>SUMPRODUCT((Ergebniseingabe!$N$31:$BD$48=F27)*(Ergebniseingabe!$BE$31:$BE$48=Ergebniseingabe!$BH$31:$BH$48)*(Ergebniseingabe!$BE$31:$BE$48&lt;&gt;"")*(Ergebniseingabe!$BH$31:$BH$48&lt;&gt;""))</f>
        <v>0</v>
      </c>
      <c r="O27" s="32">
        <f>SUMPRODUCT((Ergebniseingabe!$N$31:$AH$48=F27)*(Ergebniseingabe!$BE$31:$BE$48&lt;Ergebniseingabe!$BH$31:$BH$48))+SUMPRODUCT((Ergebniseingabe!$AJ$31:$BD$48=F27)*(Ergebniseingabe!$BE$31:$BE$48&gt;Ergebniseingabe!$BH$31:$BH$48))</f>
        <v>0</v>
      </c>
      <c r="P27" s="32"/>
      <c r="Q27" s="119" t="str">
        <f>F27</f>
        <v>SSV Strümp</v>
      </c>
      <c r="R27" s="121">
        <f>IF(AND(Q27&amp;$R$24=VLOOKUP(Q27&amp;$R$24,$C$44:$H$79,1,0),VLOOKUP(Q27&amp;$R$24,$C$44:$H$79,6,0)&lt;&gt;""),VLOOKUP(Q27&amp;$R$24,$C$44:$H$79,6,0),)</f>
        <v>0</v>
      </c>
      <c r="S27" s="121">
        <f>IF(AND(Q27&amp;$S$24=VLOOKUP(Q27&amp;$S$24,$C$44:$H$79,1,0),VLOOKUP(Q27&amp;$S$24,$C$44:$H$79,6,0)&lt;&gt;""),VLOOKUP(Q27&amp;$S$24,$C$44:$H$79,6,0),)</f>
        <v>0</v>
      </c>
      <c r="T27" s="120"/>
      <c r="U27" s="121">
        <f>IF(AND(Q27&amp;$U$24=VLOOKUP(Q27&amp;$U$24,$C$44:$H$79,1,0),VLOOKUP(Q27&amp;$U$24,$C$44:$H$79,6,0)&lt;&gt;""),VLOOKUP(Q27&amp;$U$24,$C$44:$H$79,6,0),)</f>
        <v>0</v>
      </c>
      <c r="V27" s="112"/>
      <c r="W27" s="128" t="str">
        <f>Q27</f>
        <v>SSV Strümp</v>
      </c>
      <c r="X27" s="121">
        <f>IF(AND(ISNUMBER(R27),ISNUMBER(T25)),IF(R27&gt;T25,3,IF(R27=T25,1,0)),0)</f>
        <v>1</v>
      </c>
      <c r="Y27" s="121">
        <f>IF(AND(ISNUMBER(S27),ISNUMBER(T26)),IF(S27&gt;T26,3,IF(S27=T26,1,0)),0)</f>
        <v>1</v>
      </c>
      <c r="Z27" s="120"/>
      <c r="AA27" s="121">
        <f>IF(AND(ISNUMBER(U27),ISNUMBER(T28)),IF(U27&gt;T28,3,IF(U27=T28,1,0)),0)</f>
        <v>1</v>
      </c>
      <c r="AB27" s="112"/>
      <c r="AC27" s="122">
        <f>I27*100000+J27*1000+G27</f>
        <v>0</v>
      </c>
      <c r="AD27" s="130">
        <f>COUNTIF(AC25:AC28,AC27)</f>
        <v>4</v>
      </c>
      <c r="AE27" s="129">
        <f>IF(AD27=1,"x","")</f>
      </c>
      <c r="AF27" s="112"/>
      <c r="AG27" s="123">
        <f>IF(AE27="x",3,IF(AC28=AC27,4,IF(AC26=AC27,2,1)))</f>
        <v>4</v>
      </c>
      <c r="AH27" s="116">
        <f>INDEX(X27:AA27,1,AG27)</f>
        <v>1</v>
      </c>
      <c r="AI27" s="124">
        <f>IF(OR($AD$29=2,$AD$29=4),AH27/10,0)</f>
        <v>0</v>
      </c>
      <c r="AJ27" s="115"/>
      <c r="AK27" s="125"/>
      <c r="AL27" s="116" t="e">
        <f>I27-INDEX(X27:AA27,1,$AK$24)-AR27-AW27</f>
        <v>#N/A</v>
      </c>
      <c r="AM27" s="116" t="e">
        <f>J27-INDEX(R27:U27,1,$AK$24)-INDEX(R27:R30,$AK$24,1)-ABS(AS27)-ABS(AX27)</f>
        <v>#N/A</v>
      </c>
      <c r="AN27" s="116" t="e">
        <f>G27-INDEX(R27:U27,1,$AK$24)-AT27-AY27</f>
        <v>#N/A</v>
      </c>
      <c r="AO27" s="126">
        <f>IF(OR($AD$29&lt;&gt;3,AE27="x"),0,AL27/10+AM27/1000+AN27/100000)</f>
        <v>0</v>
      </c>
      <c r="AP27" s="115"/>
      <c r="AQ27" s="127"/>
      <c r="AR27" s="116">
        <f>IF(ISNA($AQ$24),0,INDEX(X27:AA27,1,$AQ$24))</f>
        <v>0</v>
      </c>
      <c r="AS27" s="116">
        <f>IF(ISNA($AQ$24),0,(INDEX(R27:U27,1,$AQ$24)-INDEX(T25:T28,$AQ$24,1)))</f>
        <v>0</v>
      </c>
      <c r="AT27" s="116">
        <f>IF(ISNA($AQ$24),0,INDEX(R27:U27,1,$AQ$24))</f>
        <v>0</v>
      </c>
      <c r="AU27" s="114"/>
      <c r="AV27" s="127"/>
      <c r="AW27" s="116">
        <f>IF(ISNA($AV$24),0,INDEX(X27:AA27,1,$AV$24))</f>
        <v>0</v>
      </c>
      <c r="AX27" s="116">
        <f>IF(ISNA($AV$24),0,(INDEX(R27:U27,1,$AV$24)-INDEX(T25:T28,$AV$24,1)))</f>
        <v>0</v>
      </c>
      <c r="AY27" s="116">
        <f>IF(ISNA($AV$24),0,INDEX(R27:U27,1,$AV$24))</f>
        <v>0</v>
      </c>
      <c r="BS27" s="4"/>
      <c r="BT27" s="5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</row>
    <row r="28" spans="2:152" s="3" customFormat="1" ht="12.75">
      <c r="B28" s="32">
        <v>4</v>
      </c>
      <c r="C28" s="5">
        <f>RANK(D28,$D$25:$D$28,1)</f>
        <v>4</v>
      </c>
      <c r="D28" s="5">
        <f>E28+ROW()/1000</f>
        <v>1.028</v>
      </c>
      <c r="E28" s="5">
        <f>RANK(K28,$K$25:$K$28)</f>
        <v>1</v>
      </c>
      <c r="F28" s="32" t="str">
        <f>VLOOKUP(B28,Ergebniseingabe!$L$22:$AG$25,2,0)</f>
        <v>DJK Hoisten</v>
      </c>
      <c r="G28" s="32">
        <f>SUMPRODUCT((F28=Ergebniseingabe!$N$31:$AH$48)*(Ergebniseingabe!$BE$31:$BE$48))+SUMPRODUCT((F28=Ergebniseingabe!$AJ$31:$BD$48)*(Ergebniseingabe!$BH$31:$BH$48))</f>
        <v>0</v>
      </c>
      <c r="H28" s="32">
        <f>SUMPRODUCT((F28=Ergebniseingabe!$N$31:$AH$48)*(Ergebniseingabe!$BH$31:$BH$48))+SUMPRODUCT((F28=Ergebniseingabe!$AJ$31:$BD$48)*(Ergebniseingabe!$BE$31:$BE$48))</f>
        <v>0</v>
      </c>
      <c r="I28" s="32">
        <f>(SUMPRODUCT((F28=Ergebniseingabe!$N$31:$AH$48)*((Ergebniseingabe!$BE$31:$BE$48)&gt;(Ergebniseingabe!$BH$31:$BH$48)))+SUMPRODUCT((F28=Ergebniseingabe!$AJ$31:$BD$48)*((Ergebniseingabe!$BH$31:$BH$48)&gt;(Ergebniseingabe!$BE$31:$BE$48))))*3+SUMPRODUCT(((F28=Ergebniseingabe!$N$31:$AH$48)+(F28=Ergebniseingabe!$AJ$31:$BD$48))*((Ergebniseingabe!$BH$31:$BH$48)=(Ergebniseingabe!$BE$31:$BE$48))*NOT(ISBLANK(Ergebniseingabe!$BE$31:$BE$48)))</f>
        <v>0</v>
      </c>
      <c r="J28" s="65">
        <f>G28-H28</f>
        <v>0</v>
      </c>
      <c r="K28" s="137">
        <f>AC28+AI28+AO28</f>
        <v>0</v>
      </c>
      <c r="L28" s="32">
        <f>SUMPRODUCT((Ergebniseingabe!$N$31:$AH$48=F28)*(Ergebniseingabe!$BE$31:$BE$48&lt;&gt;""))+SUMPRODUCT((Ergebniseingabe!$AJ$31:$BD$48=F28)*(Ergebniseingabe!$BH$31:$BH$48&lt;&gt;""))</f>
        <v>0</v>
      </c>
      <c r="M28" s="32">
        <f>SUMPRODUCT((Ergebniseingabe!$N$31:$AH$48=F28)*(Ergebniseingabe!$BE$31:$BE$48&gt;Ergebniseingabe!$BH$31:$BH$48))+SUMPRODUCT((Ergebniseingabe!$AJ$31:$BD$48=F28)*(Ergebniseingabe!$BE$31:$BE$48&lt;Ergebniseingabe!$BH$31:$BH$48))</f>
        <v>0</v>
      </c>
      <c r="N28" s="32">
        <f>SUMPRODUCT((Ergebniseingabe!$N$31:$BD$48=F28)*(Ergebniseingabe!$BE$31:$BE$48=Ergebniseingabe!$BH$31:$BH$48)*(Ergebniseingabe!$BE$31:$BE$48&lt;&gt;"")*(Ergebniseingabe!$BH$31:$BH$48&lt;&gt;""))</f>
        <v>0</v>
      </c>
      <c r="O28" s="32">
        <f>SUMPRODUCT((Ergebniseingabe!$N$31:$AH$48=F28)*(Ergebniseingabe!$BE$31:$BE$48&lt;Ergebniseingabe!$BH$31:$BH$48))+SUMPRODUCT((Ergebniseingabe!$AJ$31:$BD$48=F28)*(Ergebniseingabe!$BE$31:$BE$48&gt;Ergebniseingabe!$BH$31:$BH$48))</f>
        <v>0</v>
      </c>
      <c r="P28" s="32"/>
      <c r="Q28" s="131" t="str">
        <f>F28</f>
        <v>DJK Hoisten</v>
      </c>
      <c r="R28" s="121">
        <f>IF(AND(Q28&amp;$R$24=VLOOKUP(Q28&amp;$R$24,$C$44:$H$79,1,0),VLOOKUP(Q28&amp;$R$24,$C$44:$H$79,6,0)&lt;&gt;""),VLOOKUP(Q28&amp;$R$24,$C$44:$H$79,6,0),)</f>
        <v>0</v>
      </c>
      <c r="S28" s="121">
        <f>IF(AND(Q28&amp;$S$24=VLOOKUP(Q28&amp;$S$24,$C$44:$H$79,1,0),VLOOKUP(Q28&amp;$S$24,$C$44:$H$79,6,0)&lt;&gt;""),VLOOKUP(Q28&amp;$S$24,$C$44:$H$79,6,0),)</f>
        <v>0</v>
      </c>
      <c r="T28" s="121">
        <f>IF(AND(Q28&amp;$T$24=VLOOKUP(Q28&amp;$T$24,$C$44:$H$79,1,0),VLOOKUP(Q28&amp;$T$24,$C$44:$H$79,6,0)&lt;&gt;""),VLOOKUP(Q28&amp;$T$24,$C$44:$H$79,6,0),)</f>
        <v>0</v>
      </c>
      <c r="U28" s="120"/>
      <c r="V28" s="112"/>
      <c r="W28" s="132" t="str">
        <f>Q28</f>
        <v>DJK Hoisten</v>
      </c>
      <c r="X28" s="121">
        <f>IF(AND(ISNUMBER(R28),ISNUMBER(U25)),IF(R28&gt;U25,3,IF(R28=U25,1,0)),0)</f>
        <v>1</v>
      </c>
      <c r="Y28" s="121">
        <f>IF(AND(ISNUMBER(S28),ISNUMBER(U26)),IF(S28&gt;U26,3,IF(S28=U26,1,0)),0)</f>
        <v>1</v>
      </c>
      <c r="Z28" s="121">
        <f>IF(AND(ISNUMBER(T28),ISNUMBER(U27)),IF(T28&gt;U27,3,IF(T28=U27,1,0)),0)</f>
        <v>1</v>
      </c>
      <c r="AA28" s="120"/>
      <c r="AB28" s="112"/>
      <c r="AC28" s="122">
        <f>I28*100000+J28*1000+G28</f>
        <v>0</v>
      </c>
      <c r="AD28" s="133">
        <f>COUNTIF(AC25:AC28,AC28)</f>
        <v>4</v>
      </c>
      <c r="AE28" s="133">
        <f>IF(AD28=1,"x","")</f>
      </c>
      <c r="AF28" s="112"/>
      <c r="AG28" s="123">
        <f>IF(AE28="x",4,IF(AC25=AC28,1,IF(AC26=AC28,2,3)))</f>
        <v>1</v>
      </c>
      <c r="AH28" s="116">
        <f>INDEX(X28:AA28,1,AG28)</f>
        <v>1</v>
      </c>
      <c r="AI28" s="124">
        <f>IF(OR($AD$29=2,$AD$29=4),AH28/10,0)</f>
        <v>0</v>
      </c>
      <c r="AJ28" s="115"/>
      <c r="AK28" s="114"/>
      <c r="AL28" s="116" t="e">
        <f>I28-INDEX(X28:AA28,1,$AK$24)-AR28-AW28</f>
        <v>#N/A</v>
      </c>
      <c r="AM28" s="116" t="e">
        <f>J28-INDEX(R28:U28,1,$AK$24)-INDEX(R28:R31,$AK$24,1)-ABS(AS28)-ABS(AX28)</f>
        <v>#N/A</v>
      </c>
      <c r="AN28" s="116" t="e">
        <f>G28-INDEX(R28:U28,1,$AK$24)-AT28-AY28</f>
        <v>#N/A</v>
      </c>
      <c r="AO28" s="126">
        <f>IF(OR($AD$29&lt;&gt;3,AE28="x"),0,AL28/10+AM28/1000+AN28/100000)</f>
        <v>0</v>
      </c>
      <c r="AP28" s="115"/>
      <c r="AQ28" s="127"/>
      <c r="AR28" s="116">
        <f>IF(ISNA($AQ$24),0,INDEX(X28:AA28,1,$AQ$24))</f>
        <v>0</v>
      </c>
      <c r="AS28" s="116">
        <f>IF(ISNA($AQ$24),0,(INDEX(R28:U28,1,$AQ$24)-INDEX(U25:U28,$AQ$24,1)))</f>
        <v>0</v>
      </c>
      <c r="AT28" s="116">
        <f>IF(ISNA($AQ$24),0,INDEX(R28:U28,1,$AQ$24))</f>
        <v>0</v>
      </c>
      <c r="AU28" s="114"/>
      <c r="AV28" s="127"/>
      <c r="AW28" s="116">
        <f>IF(ISNA($AV$24),0,INDEX(X28:AA28,1,$AV$24))</f>
        <v>0</v>
      </c>
      <c r="AX28" s="116">
        <f>IF(ISNA($AV$24),0,(INDEX(R28:U28,1,$AV$24)-INDEX(U25:U28,$AV$24,1)))</f>
        <v>0</v>
      </c>
      <c r="AY28" s="116">
        <f>IF(ISNA($AV$24),0,INDEX(R28:U28,1,$AV$24))</f>
        <v>0</v>
      </c>
      <c r="BS28" s="4"/>
      <c r="BT28" s="5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</row>
    <row r="29" spans="2:152" s="3" customFormat="1" ht="36">
      <c r="B29" s="32">
        <f>COUNT(B25:B28)*(COUNT(B25:B28)-1)</f>
        <v>12</v>
      </c>
      <c r="C29" s="5"/>
      <c r="D29" s="5"/>
      <c r="E29" s="5">
        <f>COUNTIF($E$25:$E$28,1)</f>
        <v>4</v>
      </c>
      <c r="F29" s="32"/>
      <c r="G29" s="65"/>
      <c r="H29" s="65"/>
      <c r="I29" s="65"/>
      <c r="J29" s="65"/>
      <c r="K29" s="32"/>
      <c r="L29" s="65">
        <f>SUM(L25:L28)</f>
        <v>0</v>
      </c>
      <c r="M29" s="65"/>
      <c r="N29" s="65"/>
      <c r="O29" s="65"/>
      <c r="P29" s="3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34" t="s">
        <v>59</v>
      </c>
      <c r="AD29" s="135">
        <f>MOD(MIN(AD25:AD28)*MAX(AD25:AD28),11)</f>
        <v>5</v>
      </c>
      <c r="AE29" s="117"/>
      <c r="AF29" s="112"/>
      <c r="AG29" s="125"/>
      <c r="AH29" s="114"/>
      <c r="AI29" s="114"/>
      <c r="AJ29" s="115"/>
      <c r="AK29" s="125"/>
      <c r="AL29" s="136" t="s">
        <v>38</v>
      </c>
      <c r="AM29" s="136" t="s">
        <v>39</v>
      </c>
      <c r="AN29" s="136" t="s">
        <v>60</v>
      </c>
      <c r="AO29" s="117"/>
      <c r="AP29" s="115"/>
      <c r="AQ29" s="117"/>
      <c r="AR29" s="136" t="s">
        <v>38</v>
      </c>
      <c r="AS29" s="136" t="s">
        <v>39</v>
      </c>
      <c r="AT29" s="136" t="s">
        <v>60</v>
      </c>
      <c r="AU29" s="117"/>
      <c r="AV29" s="117"/>
      <c r="AW29" s="136" t="s">
        <v>38</v>
      </c>
      <c r="AX29" s="136" t="s">
        <v>39</v>
      </c>
      <c r="AY29" s="136" t="s">
        <v>60</v>
      </c>
      <c r="BS29" s="4"/>
      <c r="BT29" s="5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</row>
    <row r="30" spans="2:152" s="3" customFormat="1" ht="12.75">
      <c r="B30" s="5"/>
      <c r="C30" s="5"/>
      <c r="D30" s="5"/>
      <c r="E30" s="5">
        <f>COUNTIF($E$25:$E$28,2)</f>
        <v>0</v>
      </c>
      <c r="F30" s="5"/>
      <c r="G30" s="5"/>
      <c r="H30" s="5"/>
      <c r="I30" s="5"/>
      <c r="J30" s="5"/>
      <c r="K30" s="85"/>
      <c r="L30" s="85"/>
      <c r="M30" s="65"/>
      <c r="N30" s="65"/>
      <c r="O30" s="32"/>
      <c r="P30" s="32"/>
      <c r="Q30" s="32"/>
      <c r="R30" s="32"/>
      <c r="S30" s="32"/>
      <c r="T30" s="32"/>
      <c r="BS30" s="4"/>
      <c r="BT30" s="5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</row>
    <row r="31" spans="2:152" s="3" customFormat="1" ht="12.75">
      <c r="B31" s="5"/>
      <c r="C31" s="5"/>
      <c r="D31" s="5"/>
      <c r="E31" s="5">
        <f>COUNTIF($E$25:$E$28,3)</f>
        <v>0</v>
      </c>
      <c r="F31" s="5"/>
      <c r="G31" s="5"/>
      <c r="H31" s="5"/>
      <c r="I31" s="5"/>
      <c r="J31" s="5"/>
      <c r="K31" s="85"/>
      <c r="L31" s="85"/>
      <c r="M31" s="65"/>
      <c r="N31" s="65"/>
      <c r="O31" s="32"/>
      <c r="P31" s="32"/>
      <c r="Q31" s="32"/>
      <c r="R31" s="32"/>
      <c r="S31" s="32"/>
      <c r="T31" s="32"/>
      <c r="BS31" s="4"/>
      <c r="BT31" s="5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</row>
    <row r="32" spans="2:152" s="3" customFormat="1" ht="12.75">
      <c r="B32" s="5"/>
      <c r="C32" s="5"/>
      <c r="D32" s="5"/>
      <c r="E32" s="5">
        <f>COUNTIF($E$25:$E$28,4)</f>
        <v>0</v>
      </c>
      <c r="F32" s="5"/>
      <c r="G32" s="5"/>
      <c r="H32" s="5"/>
      <c r="I32" s="5"/>
      <c r="J32" s="5"/>
      <c r="K32" s="85"/>
      <c r="L32" s="85"/>
      <c r="M32" s="65"/>
      <c r="N32" s="65"/>
      <c r="O32" s="32"/>
      <c r="P32" s="32"/>
      <c r="Q32" s="32"/>
      <c r="R32" s="32"/>
      <c r="S32" s="32"/>
      <c r="T32" s="32"/>
      <c r="BS32" s="4"/>
      <c r="BT32" s="5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</row>
    <row r="33" spans="2:152" s="3" customFormat="1" ht="12.75">
      <c r="B33" s="5"/>
      <c r="C33" s="5"/>
      <c r="D33" s="5"/>
      <c r="E33" s="5"/>
      <c r="F33" s="5"/>
      <c r="G33" s="5"/>
      <c r="H33" s="5"/>
      <c r="I33" s="5"/>
      <c r="J33" s="5"/>
      <c r="K33" s="85"/>
      <c r="L33" s="85"/>
      <c r="M33" s="65"/>
      <c r="N33" s="5"/>
      <c r="O33" s="32"/>
      <c r="P33" s="32"/>
      <c r="Q33" s="32"/>
      <c r="R33" s="32"/>
      <c r="S33" s="32"/>
      <c r="T33" s="32"/>
      <c r="BS33" s="4"/>
      <c r="BT33" s="5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</row>
    <row r="34" spans="2:152" s="3" customFormat="1" ht="12.75">
      <c r="B34" s="109" t="s">
        <v>44</v>
      </c>
      <c r="C34" s="5"/>
      <c r="D34" s="65"/>
      <c r="E34" s="65"/>
      <c r="F34" s="65"/>
      <c r="G34" s="65"/>
      <c r="H34" s="5"/>
      <c r="I34" s="32"/>
      <c r="J34" s="32"/>
      <c r="K34" s="32"/>
      <c r="L34" s="32"/>
      <c r="M34" s="5"/>
      <c r="N34" s="5"/>
      <c r="O34" s="32"/>
      <c r="P34" s="32"/>
      <c r="Q34" s="32"/>
      <c r="R34" s="32"/>
      <c r="S34" s="32"/>
      <c r="T34" s="32"/>
      <c r="BS34" s="4"/>
      <c r="BT34" s="5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</row>
    <row r="35" spans="2:152" s="3" customFormat="1" ht="12.75">
      <c r="B35" s="32">
        <v>1</v>
      </c>
      <c r="C35" s="5" t="e">
        <f>RANK(D35,$D$35:$D$37,1)</f>
        <v>#VALUE!</v>
      </c>
      <c r="D35" s="5" t="e">
        <f>E35+ROW()/1000</f>
        <v>#VALUE!</v>
      </c>
      <c r="E35" s="5" t="e">
        <f>RANK(K35,$K$35:$K$37)</f>
        <v>#VALUE!</v>
      </c>
      <c r="F35" s="32" t="str">
        <f>Ergebniseingabe!$L$65</f>
        <v>TuS Hackenbroich</v>
      </c>
      <c r="G35" s="65">
        <f>Ergebniseingabe!$BE$65</f>
      </c>
      <c r="H35" s="65">
        <f>Ergebniseingabe!$BH$65</f>
      </c>
      <c r="I35" s="5">
        <f>Ergebniseingabe!$BM$65</f>
      </c>
      <c r="J35" s="65" t="e">
        <f>G35-H35</f>
        <v>#VALUE!</v>
      </c>
      <c r="K35" s="32" t="e">
        <f>I35*100000+J35*1000+G35</f>
        <v>#VALUE!</v>
      </c>
      <c r="L35" s="65">
        <f>SUM(M35:O35)</f>
        <v>0</v>
      </c>
      <c r="M35" s="5">
        <f>Ergebniseingabe!AV65</f>
      </c>
      <c r="N35" s="5">
        <f>Ergebniseingabe!AY65</f>
      </c>
      <c r="O35" s="5">
        <f>Ergebniseingabe!BB65</f>
      </c>
      <c r="P35" s="32"/>
      <c r="Q35" s="32"/>
      <c r="R35" s="32"/>
      <c r="S35" s="32"/>
      <c r="T35" s="32"/>
      <c r="BS35" s="4"/>
      <c r="BT35" s="5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</row>
    <row r="36" spans="2:152" s="3" customFormat="1" ht="12.75">
      <c r="B36" s="32">
        <v>2</v>
      </c>
      <c r="C36" s="5" t="e">
        <f>RANK(D36,$D$35:$D$37,1)</f>
        <v>#VALUE!</v>
      </c>
      <c r="D36" s="5" t="e">
        <f>E36+ROW()/1000</f>
        <v>#VALUE!</v>
      </c>
      <c r="E36" s="5" t="e">
        <f>RANK(K36,$K$35:$K$37)</f>
        <v>#VALUE!</v>
      </c>
      <c r="F36" s="32" t="str">
        <f>Ergebniseingabe!$L$81</f>
        <v>1. FC Quadrath Ichendorf</v>
      </c>
      <c r="G36" s="65">
        <f>Ergebniseingabe!$BE$81</f>
      </c>
      <c r="H36" s="65">
        <f>Ergebniseingabe!$BH$81</f>
      </c>
      <c r="I36" s="5">
        <f>Ergebniseingabe!$BM$81</f>
      </c>
      <c r="J36" s="65" t="e">
        <f>G36-H36</f>
        <v>#VALUE!</v>
      </c>
      <c r="K36" s="32" t="e">
        <f>I36*100000+J36*1000+G36</f>
        <v>#VALUE!</v>
      </c>
      <c r="L36" s="65">
        <f>SUM(M36:O36)</f>
        <v>0</v>
      </c>
      <c r="M36" s="5">
        <f>Ergebniseingabe!AV81</f>
      </c>
      <c r="N36" s="5">
        <f>Ergebniseingabe!AY81</f>
      </c>
      <c r="O36" s="32">
        <f>Ergebniseingabe!BB81</f>
      </c>
      <c r="P36" s="32"/>
      <c r="Q36" s="32"/>
      <c r="R36" s="32"/>
      <c r="S36" s="32"/>
      <c r="T36" s="32"/>
      <c r="BS36" s="4"/>
      <c r="BT36" s="5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</row>
    <row r="37" spans="2:152" s="3" customFormat="1" ht="12.75">
      <c r="B37" s="32">
        <v>3</v>
      </c>
      <c r="C37" s="5" t="e">
        <f>RANK(D37,$D$35:$D$37,1)</f>
        <v>#VALUE!</v>
      </c>
      <c r="D37" s="5" t="e">
        <f>E37+ROW()/1000</f>
        <v>#VALUE!</v>
      </c>
      <c r="E37" s="5" t="e">
        <f>RANK(K37,$K$35:$K$37)</f>
        <v>#VALUE!</v>
      </c>
      <c r="F37" s="32" t="str">
        <f>Ergebniseingabe!$L$97</f>
        <v>SSV Strümp</v>
      </c>
      <c r="G37" s="65">
        <f>Ergebniseingabe!$BE$97</f>
      </c>
      <c r="H37" s="65">
        <f>Ergebniseingabe!$BH$97</f>
      </c>
      <c r="I37" s="5">
        <f>Ergebniseingabe!$BM$97</f>
      </c>
      <c r="J37" s="65" t="e">
        <f>G37-H37</f>
        <v>#VALUE!</v>
      </c>
      <c r="K37" s="32" t="e">
        <f>I37*100000+J37*1000+G37</f>
        <v>#VALUE!</v>
      </c>
      <c r="L37" s="65">
        <f>SUM(M37:O37)</f>
        <v>0</v>
      </c>
      <c r="M37" s="5">
        <f>Ergebniseingabe!AV97</f>
      </c>
      <c r="N37" s="5">
        <f>Ergebniseingabe!AY97</f>
      </c>
      <c r="O37" s="5">
        <f>Ergebniseingabe!BB97</f>
      </c>
      <c r="P37" s="32"/>
      <c r="Q37" s="32"/>
      <c r="R37" s="32"/>
      <c r="S37" s="32"/>
      <c r="T37" s="32"/>
      <c r="BS37" s="4"/>
      <c r="BT37" s="5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</row>
    <row r="38" spans="2:152" s="3" customFormat="1" ht="12.75">
      <c r="B38" s="32">
        <f>SUM(B9,B19,B29)</f>
        <v>36</v>
      </c>
      <c r="C38" s="5"/>
      <c r="D38" s="5"/>
      <c r="E38" s="5">
        <f>COUNTIF($E$35:$E$37,1)</f>
        <v>0</v>
      </c>
      <c r="F38" s="32"/>
      <c r="G38" s="65"/>
      <c r="H38" s="65"/>
      <c r="I38" s="5"/>
      <c r="J38" s="65"/>
      <c r="K38" s="32"/>
      <c r="L38" s="65">
        <f>SUM(L9,L19,L29)</f>
        <v>0</v>
      </c>
      <c r="M38" s="5"/>
      <c r="N38" s="5"/>
      <c r="O38" s="32"/>
      <c r="P38" s="32"/>
      <c r="Q38" s="32"/>
      <c r="R38" s="32"/>
      <c r="S38" s="32"/>
      <c r="T38" s="32"/>
      <c r="BS38" s="4"/>
      <c r="BT38" s="5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</row>
    <row r="39" spans="2:152" s="3" customFormat="1" ht="12.75">
      <c r="B39" s="32"/>
      <c r="C39" s="32"/>
      <c r="D39" s="32"/>
      <c r="E39" s="5">
        <f>COUNTIF($E$35:$E$37,2)</f>
        <v>0</v>
      </c>
      <c r="F39" s="32"/>
      <c r="G39" s="32"/>
      <c r="H39" s="32"/>
      <c r="I39" s="32"/>
      <c r="J39" s="32"/>
      <c r="K39" s="32"/>
      <c r="L39" s="32"/>
      <c r="M39" s="5"/>
      <c r="N39" s="5"/>
      <c r="O39" s="32"/>
      <c r="P39" s="32"/>
      <c r="Q39" s="32"/>
      <c r="R39" s="32"/>
      <c r="S39" s="32"/>
      <c r="T39" s="32"/>
      <c r="BS39" s="4"/>
      <c r="BT39" s="5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</row>
    <row r="40" spans="2:152" s="3" customFormat="1" ht="12.75">
      <c r="B40" s="5"/>
      <c r="C40" s="5"/>
      <c r="D40" s="5"/>
      <c r="E40" s="5">
        <f>COUNTIF($E$35:$E$37,3)</f>
        <v>0</v>
      </c>
      <c r="F40" s="5"/>
      <c r="G40" s="5"/>
      <c r="H40" s="5"/>
      <c r="I40" s="5"/>
      <c r="J40" s="5"/>
      <c r="K40" s="85"/>
      <c r="L40" s="85"/>
      <c r="M40" s="5"/>
      <c r="N40" s="5"/>
      <c r="O40" s="32"/>
      <c r="P40" s="32"/>
      <c r="Q40" s="32"/>
      <c r="R40" s="32"/>
      <c r="S40" s="32"/>
      <c r="T40" s="32"/>
      <c r="BS40" s="4"/>
      <c r="BT40" s="5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</row>
    <row r="41" spans="2:152" s="3" customFormat="1" ht="12.75">
      <c r="B41" s="5"/>
      <c r="C41" s="5"/>
      <c r="D41" s="5"/>
      <c r="E41" s="5"/>
      <c r="F41" s="5"/>
      <c r="G41" s="5"/>
      <c r="H41" s="5"/>
      <c r="I41" s="5"/>
      <c r="J41" s="5"/>
      <c r="K41" s="85"/>
      <c r="L41" s="85"/>
      <c r="M41" s="5"/>
      <c r="N41" s="5"/>
      <c r="O41" s="32"/>
      <c r="P41" s="32"/>
      <c r="Q41" s="32"/>
      <c r="R41" s="32"/>
      <c r="S41" s="32"/>
      <c r="T41" s="32"/>
      <c r="W41" s="71"/>
      <c r="X41" s="71"/>
      <c r="Y41" s="71"/>
      <c r="Z41" s="86"/>
      <c r="AA41" s="86"/>
      <c r="AB41" s="86"/>
      <c r="AC41" s="86"/>
      <c r="AD41" s="86"/>
      <c r="AE41" s="86"/>
      <c r="AF41" s="87"/>
      <c r="AG41" s="87"/>
      <c r="AH41" s="87"/>
      <c r="AI41" s="87"/>
      <c r="BS41" s="4"/>
      <c r="BT41" s="5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</row>
    <row r="42" spans="2:152" s="3" customFormat="1" ht="12.75">
      <c r="B42" s="5"/>
      <c r="C42" s="5"/>
      <c r="D42" s="5"/>
      <c r="E42" s="5"/>
      <c r="F42" s="5"/>
      <c r="G42" s="5"/>
      <c r="H42" s="5"/>
      <c r="I42" s="5"/>
      <c r="J42" s="5"/>
      <c r="K42" s="85"/>
      <c r="L42" s="85"/>
      <c r="M42" s="5"/>
      <c r="N42" s="5"/>
      <c r="O42" s="32"/>
      <c r="P42" s="32"/>
      <c r="Q42" s="32"/>
      <c r="R42" s="32"/>
      <c r="S42" s="32"/>
      <c r="T42" s="32"/>
      <c r="BS42" s="4"/>
      <c r="BT42" s="5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</row>
    <row r="43" spans="13:152" s="3" customFormat="1" ht="12.75">
      <c r="M43" s="4"/>
      <c r="N43" s="4"/>
      <c r="BS43" s="4"/>
      <c r="BT43" s="5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</row>
    <row r="44" spans="2:152" s="3" customFormat="1" ht="12.75">
      <c r="B44" s="3">
        <v>1</v>
      </c>
      <c r="C44" s="3" t="str">
        <f aca="true" t="shared" si="0" ref="C44:C79">D44&amp;E44</f>
        <v>SV Rosellen 3DSC 99 Düsseldorf</v>
      </c>
      <c r="D44" s="3" t="str">
        <f>F5</f>
        <v>SV Rosellen 3</v>
      </c>
      <c r="E44" s="3" t="str">
        <f>F6</f>
        <v>DSC 99 Düsseldorf</v>
      </c>
      <c r="F44" s="3">
        <f>IF(SUMPRODUCT((Ergebniseingabe!$N$31:$N$48=D44)*(Ergebniseingabe!$AJ$31:$AJ$48=E44)*(ISNUMBER(Ergebniseingabe!$BH$31:$BH$48)))=1,SUMPRODUCT((Ergebniseingabe!$N$31:$N$48=D44)*(Ergebniseingabe!$AJ$31:$AJ$48=E44)*(Ergebniseingabe!$BE$31:$BE$48))&amp;":"&amp;SUMPRODUCT((Ergebniseingabe!$N$31:$N$48=D44)*(Ergebniseingabe!$AJ$31:$AJ$48=E44)*(Ergebniseingabe!$BH$31:$BH$48)),"")</f>
      </c>
      <c r="G44" s="3">
        <f>IF(SUMPRODUCT((Ergebniseingabe!$AJ$31:$AJ$48=D44)*(Ergebniseingabe!$N$31:$N$48=E44)*(ISNUMBER(Ergebniseingabe!$BH$31:$BH$48)))=1,SUMPRODUCT((Ergebniseingabe!$AJ$31:$AJ$48=D44)*(Ergebniseingabe!$N$31:$N$48=E44)*(Ergebniseingabe!$BH$31:$BH$48))&amp;":"&amp;SUMPRODUCT((Ergebniseingabe!$AJ$31:$AJ$48=D44)*(Ergebniseingabe!$N$31:$N$48=E44)*(Ergebniseingabe!$BE$31:$BE$48)),"")</f>
      </c>
      <c r="H44" s="32">
        <f>IF(SUMPRODUCT((Ergebniseingabe!$N$31:$N$48=D44)*(Ergebniseingabe!$AJ$31:$AJ$48=E44)*(ISNUMBER(Ergebniseingabe!$BH$31:$BH$48)))=1,SUMPRODUCT((Ergebniseingabe!$N$31:$N$48=D44)*(Ergebniseingabe!$AJ$31:$AJ$48=E44)*(Ergebniseingabe!$BE$31:$BE$48)),"")</f>
      </c>
      <c r="BS44" s="4"/>
      <c r="BT44" s="5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</row>
    <row r="45" spans="2:152" s="3" customFormat="1" ht="12.75">
      <c r="B45" s="3">
        <v>2</v>
      </c>
      <c r="C45" s="3" t="str">
        <f t="shared" si="0"/>
        <v>SV Rosellen 3TuS Hackenbroich</v>
      </c>
      <c r="D45" s="3" t="str">
        <f>F5</f>
        <v>SV Rosellen 3</v>
      </c>
      <c r="E45" s="3" t="str">
        <f>F7</f>
        <v>TuS Hackenbroich</v>
      </c>
      <c r="F45" s="3">
        <f>IF(SUMPRODUCT((Ergebniseingabe!$N$31:$N$48=D45)*(Ergebniseingabe!$AJ$31:$AJ$48=E45)*(ISNUMBER(Ergebniseingabe!$BH$31:$BH$48)))=1,SUMPRODUCT((Ergebniseingabe!$N$31:$N$48=D45)*(Ergebniseingabe!$AJ$31:$AJ$48=E45)*(Ergebniseingabe!$BE$31:$BE$48))&amp;":"&amp;SUMPRODUCT((Ergebniseingabe!$N$31:$N$48=D45)*(Ergebniseingabe!$AJ$31:$AJ$48=E45)*(Ergebniseingabe!$BH$31:$BH$48)),"")</f>
      </c>
      <c r="G45" s="3">
        <f>IF(SUMPRODUCT((Ergebniseingabe!$AJ$31:$AJ$48=D45)*(Ergebniseingabe!$N$31:$N$48=E45)*(ISNUMBER(Ergebniseingabe!$BH$31:$BH$48)))=1,SUMPRODUCT((Ergebniseingabe!$AJ$31:$AJ$48=D45)*(Ergebniseingabe!$N$31:$N$48=E45)*(Ergebniseingabe!$BH$31:$BH$48))&amp;":"&amp;SUMPRODUCT((Ergebniseingabe!$AJ$31:$AJ$48=D45)*(Ergebniseingabe!$N$31:$N$48=E45)*(Ergebniseingabe!$BE$31:$BE$48)),"")</f>
      </c>
      <c r="H45" s="32">
        <f>IF(SUMPRODUCT((Ergebniseingabe!$N$31:$N$48=D45)*(Ergebniseingabe!$AJ$31:$AJ$48=E45)*(ISNUMBER(Ergebniseingabe!$BH$31:$BH$48)))=1,SUMPRODUCT((Ergebniseingabe!$N$31:$N$48=D45)*(Ergebniseingabe!$AJ$31:$AJ$48=E45)*(Ergebniseingabe!$BE$31:$BE$48)),"")</f>
      </c>
      <c r="BS45" s="4"/>
      <c r="BT45" s="5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</row>
    <row r="46" spans="2:152" s="3" customFormat="1" ht="12.75">
      <c r="B46" s="3">
        <v>3</v>
      </c>
      <c r="C46" s="3" t="str">
        <f t="shared" si="0"/>
        <v>SV Rosellen 3DJK Viktoria Frechen</v>
      </c>
      <c r="D46" s="3" t="str">
        <f>F5</f>
        <v>SV Rosellen 3</v>
      </c>
      <c r="E46" s="3" t="str">
        <f>F8</f>
        <v>DJK Viktoria Frechen</v>
      </c>
      <c r="F46" s="3">
        <f>IF(SUMPRODUCT((Ergebniseingabe!$N$31:$N$48=D46)*(Ergebniseingabe!$AJ$31:$AJ$48=E46)*(ISNUMBER(Ergebniseingabe!$BH$31:$BH$48)))=1,SUMPRODUCT((Ergebniseingabe!$N$31:$N$48=D46)*(Ergebniseingabe!$AJ$31:$AJ$48=E46)*(Ergebniseingabe!$BE$31:$BE$48))&amp;":"&amp;SUMPRODUCT((Ergebniseingabe!$N$31:$N$48=D46)*(Ergebniseingabe!$AJ$31:$AJ$48=E46)*(Ergebniseingabe!$BH$31:$BH$48)),"")</f>
      </c>
      <c r="G46" s="3">
        <f>IF(SUMPRODUCT((Ergebniseingabe!$AJ$31:$AJ$48=D46)*(Ergebniseingabe!$N$31:$N$48=E46)*(ISNUMBER(Ergebniseingabe!$BH$31:$BH$48)))=1,SUMPRODUCT((Ergebniseingabe!$AJ$31:$AJ$48=D46)*(Ergebniseingabe!$N$31:$N$48=E46)*(Ergebniseingabe!$BH$31:$BH$48))&amp;":"&amp;SUMPRODUCT((Ergebniseingabe!$AJ$31:$AJ$48=D46)*(Ergebniseingabe!$N$31:$N$48=E46)*(Ergebniseingabe!$BE$31:$BE$48)),"")</f>
      </c>
      <c r="H46" s="32">
        <f>IF(SUMPRODUCT((Ergebniseingabe!$AJ$31:$AJ$48=D46)*(Ergebniseingabe!$N$31:$N$48=E46)*(ISNUMBER(Ergebniseingabe!$BE$31:$BE$48)))=1,SUMPRODUCT((Ergebniseingabe!$AJ$31:$AJ$48=D46)*(Ergebniseingabe!$N$31:$N$48=E46)*(Ergebniseingabe!$BH$31:$BH$48)),"")</f>
      </c>
      <c r="BS46" s="4"/>
      <c r="BT46" s="5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</row>
    <row r="47" spans="2:152" s="3" customFormat="1" ht="12.75">
      <c r="B47" s="3">
        <v>4</v>
      </c>
      <c r="C47" s="3" t="str">
        <f t="shared" si="0"/>
        <v>DSC 99 DüsseldorfTuS Hackenbroich</v>
      </c>
      <c r="D47" s="3" t="str">
        <f>F6</f>
        <v>DSC 99 Düsseldorf</v>
      </c>
      <c r="E47" s="3" t="str">
        <f>F7</f>
        <v>TuS Hackenbroich</v>
      </c>
      <c r="F47" s="3">
        <f>IF(SUMPRODUCT((Ergebniseingabe!$N$31:$N$48=D47)*(Ergebniseingabe!$AJ$31:$AJ$48=E47)*(ISNUMBER(Ergebniseingabe!$BH$31:$BH$48)))=1,SUMPRODUCT((Ergebniseingabe!$N$31:$N$48=D47)*(Ergebniseingabe!$AJ$31:$AJ$48=E47)*(Ergebniseingabe!$BE$31:$BE$48))&amp;":"&amp;SUMPRODUCT((Ergebniseingabe!$N$31:$N$48=D47)*(Ergebniseingabe!$AJ$31:$AJ$48=E47)*(Ergebniseingabe!$BH$31:$BH$48)),"")</f>
      </c>
      <c r="G47" s="3">
        <f>IF(SUMPRODUCT((Ergebniseingabe!$AJ$31:$AJ$48=D47)*(Ergebniseingabe!$N$31:$N$48=E47)*(ISNUMBER(Ergebniseingabe!$BH$31:$BH$48)))=1,SUMPRODUCT((Ergebniseingabe!$AJ$31:$AJ$48=D47)*(Ergebniseingabe!$N$31:$N$48=E47)*(Ergebniseingabe!$BH$31:$BH$48))&amp;":"&amp;SUMPRODUCT((Ergebniseingabe!$AJ$31:$AJ$48=D47)*(Ergebniseingabe!$N$31:$N$48=E47)*(Ergebniseingabe!$BE$31:$BE$48)),"")</f>
      </c>
      <c r="H47" s="32">
        <f>IF(SUMPRODUCT((Ergebniseingabe!$N$31:$N$48=D47)*(Ergebniseingabe!$AJ$31:$AJ$48=E47)*(ISNUMBER(Ergebniseingabe!$BH$31:$BH$48)))=1,SUMPRODUCT((Ergebniseingabe!$N$31:$N$48=D47)*(Ergebniseingabe!$AJ$31:$AJ$48=E47)*(Ergebniseingabe!$BE$31:$BE$48)),"")</f>
      </c>
      <c r="BS47" s="4"/>
      <c r="BT47" s="5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</row>
    <row r="48" spans="2:152" s="3" customFormat="1" ht="12.75">
      <c r="B48" s="3">
        <v>5</v>
      </c>
      <c r="C48" s="3" t="str">
        <f t="shared" si="0"/>
        <v>DSC 99 DüsseldorfDJK Viktoria Frechen</v>
      </c>
      <c r="D48" s="3" t="str">
        <f>F6</f>
        <v>DSC 99 Düsseldorf</v>
      </c>
      <c r="E48" s="3" t="str">
        <f>F8</f>
        <v>DJK Viktoria Frechen</v>
      </c>
      <c r="F48" s="3">
        <f>IF(SUMPRODUCT((Ergebniseingabe!$N$31:$N$48=D48)*(Ergebniseingabe!$AJ$31:$AJ$48=E48)*(ISNUMBER(Ergebniseingabe!$BH$31:$BH$48)))=1,SUMPRODUCT((Ergebniseingabe!$N$31:$N$48=D48)*(Ergebniseingabe!$AJ$31:$AJ$48=E48)*(Ergebniseingabe!$BE$31:$BE$48))&amp;":"&amp;SUMPRODUCT((Ergebniseingabe!$N$31:$N$48=D48)*(Ergebniseingabe!$AJ$31:$AJ$48=E48)*(Ergebniseingabe!$BH$31:$BH$48)),"")</f>
      </c>
      <c r="G48" s="3">
        <f>IF(SUMPRODUCT((Ergebniseingabe!$AJ$31:$AJ$48=D48)*(Ergebniseingabe!$N$31:$N$48=E48)*(ISNUMBER(Ergebniseingabe!$BH$31:$BH$48)))=1,SUMPRODUCT((Ergebniseingabe!$AJ$31:$AJ$48=D48)*(Ergebniseingabe!$N$31:$N$48=E48)*(Ergebniseingabe!$BH$31:$BH$48))&amp;":"&amp;SUMPRODUCT((Ergebniseingabe!$AJ$31:$AJ$48=D48)*(Ergebniseingabe!$N$31:$N$48=E48)*(Ergebniseingabe!$BE$31:$BE$48)),"")</f>
      </c>
      <c r="H48" s="32">
        <f>IF(SUMPRODUCT((Ergebniseingabe!$N$31:$N$48=D48)*(Ergebniseingabe!$AJ$31:$AJ$48=E48)*(ISNUMBER(Ergebniseingabe!$BH$31:$BH$48)))=1,SUMPRODUCT((Ergebniseingabe!$N$31:$N$48=D48)*(Ergebniseingabe!$AJ$31:$AJ$48=E48)*(Ergebniseingabe!$BE$31:$BE$48)),"")</f>
      </c>
      <c r="BS48" s="4"/>
      <c r="BT48" s="5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</row>
    <row r="49" spans="2:152" s="3" customFormat="1" ht="12.75">
      <c r="B49" s="3">
        <v>6</v>
      </c>
      <c r="C49" s="3" t="str">
        <f t="shared" si="0"/>
        <v>TuS HackenbroichDJK Viktoria Frechen</v>
      </c>
      <c r="D49" s="3" t="str">
        <f>F7</f>
        <v>TuS Hackenbroich</v>
      </c>
      <c r="E49" s="3" t="str">
        <f>F8</f>
        <v>DJK Viktoria Frechen</v>
      </c>
      <c r="F49" s="3">
        <f>IF(SUMPRODUCT((Ergebniseingabe!$N$31:$N$48=D49)*(Ergebniseingabe!$AJ$31:$AJ$48=E49)*(ISNUMBER(Ergebniseingabe!$BH$31:$BH$48)))=1,SUMPRODUCT((Ergebniseingabe!$N$31:$N$48=D49)*(Ergebniseingabe!$AJ$31:$AJ$48=E49)*(Ergebniseingabe!$BE$31:$BE$48))&amp;":"&amp;SUMPRODUCT((Ergebniseingabe!$N$31:$N$48=D49)*(Ergebniseingabe!$AJ$31:$AJ$48=E49)*(Ergebniseingabe!$BH$31:$BH$48)),"")</f>
      </c>
      <c r="G49" s="3">
        <f>IF(SUMPRODUCT((Ergebniseingabe!$AJ$31:$AJ$48=D49)*(Ergebniseingabe!$N$31:$N$48=E49)*(ISNUMBER(Ergebniseingabe!$BH$31:$BH$48)))=1,SUMPRODUCT((Ergebniseingabe!$AJ$31:$AJ$48=D49)*(Ergebniseingabe!$N$31:$N$48=E49)*(Ergebniseingabe!$BH$31:$BH$48))&amp;":"&amp;SUMPRODUCT((Ergebniseingabe!$AJ$31:$AJ$48=D49)*(Ergebniseingabe!$N$31:$N$48=E49)*(Ergebniseingabe!$BE$31:$BE$48)),"")</f>
      </c>
      <c r="H49" s="32">
        <f>IF(SUMPRODUCT((Ergebniseingabe!$N$31:$N$48=D49)*(Ergebniseingabe!$AJ$31:$AJ$48=E49)*(ISNUMBER(Ergebniseingabe!$BH$31:$BH$48)))=1,SUMPRODUCT((Ergebniseingabe!$N$31:$N$48=D49)*(Ergebniseingabe!$AJ$31:$AJ$48=E49)*(Ergebniseingabe!$BE$31:$BE$48)),"")</f>
      </c>
      <c r="BS49" s="4"/>
      <c r="BT49" s="5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</row>
    <row r="50" spans="2:152" s="3" customFormat="1" ht="12.75">
      <c r="B50" s="3">
        <v>1</v>
      </c>
      <c r="C50" s="3" t="str">
        <f t="shared" si="0"/>
        <v>DSC 99 DüsseldorfSV Rosellen 3</v>
      </c>
      <c r="D50" s="3" t="str">
        <f aca="true" t="shared" si="1" ref="D50:D55">E44</f>
        <v>DSC 99 Düsseldorf</v>
      </c>
      <c r="E50" s="3" t="str">
        <f aca="true" t="shared" si="2" ref="E50:E55">D44</f>
        <v>SV Rosellen 3</v>
      </c>
      <c r="F50" s="3">
        <f>IF(SUMPRODUCT((Ergebniseingabe!$N$31:$N$48=D50)*(Ergebniseingabe!$AJ$31:$AJ$48=E50)*(ISNUMBER(Ergebniseingabe!$BH$31:$BH$48)))=1,SUMPRODUCT((Ergebniseingabe!$N$31:$N$48=D50)*(Ergebniseingabe!$AJ$31:$AJ$48=E50)*(Ergebniseingabe!$BE$31:$BE$48))&amp;":"&amp;SUMPRODUCT((Ergebniseingabe!$N$31:$N$48=D50)*(Ergebniseingabe!$AJ$31:$AJ$48=E50)*(Ergebniseingabe!$BH$31:$BH$48)),"")</f>
      </c>
      <c r="G50" s="3">
        <f>IF(SUMPRODUCT((Ergebniseingabe!$AJ$31:$AJ$48=D50)*(Ergebniseingabe!$N$31:$N$48=E50)*(ISNUMBER(Ergebniseingabe!$BH$31:$BH$48)))=1,SUMPRODUCT((Ergebniseingabe!$AJ$31:$AJ$48=D50)*(Ergebniseingabe!$N$31:$N$48=E50)*(Ergebniseingabe!$BH$31:$BH$48))&amp;":"&amp;SUMPRODUCT((Ergebniseingabe!$AJ$31:$AJ$48=D50)*(Ergebniseingabe!$N$31:$N$48=E50)*(Ergebniseingabe!$BE$31:$BE$48)),"")</f>
      </c>
      <c r="H50" s="32">
        <f>IF(SUMPRODUCT((Ergebniseingabe!$AJ$31:$AJ$48=D50)*(Ergebniseingabe!$N$31:$N$48=E50)*(ISNUMBER(Ergebniseingabe!$BE$31:$BE$48)))=1,SUMPRODUCT((Ergebniseingabe!$AJ$31:$AJ$48=D50)*(Ergebniseingabe!$N$31:$N$48=E50)*(Ergebniseingabe!$BH$31:$BH$48)),"")</f>
      </c>
      <c r="BS50" s="4"/>
      <c r="BT50" s="5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</row>
    <row r="51" spans="2:152" s="3" customFormat="1" ht="12.75">
      <c r="B51" s="3">
        <v>2</v>
      </c>
      <c r="C51" s="3" t="str">
        <f t="shared" si="0"/>
        <v>TuS HackenbroichSV Rosellen 3</v>
      </c>
      <c r="D51" s="3" t="str">
        <f t="shared" si="1"/>
        <v>TuS Hackenbroich</v>
      </c>
      <c r="E51" s="3" t="str">
        <f t="shared" si="2"/>
        <v>SV Rosellen 3</v>
      </c>
      <c r="F51" s="3">
        <f>IF(SUMPRODUCT((Ergebniseingabe!$N$31:$N$48=D51)*(Ergebniseingabe!$AJ$31:$AJ$48=E51)*(ISNUMBER(Ergebniseingabe!$BH$31:$BH$48)))=1,SUMPRODUCT((Ergebniseingabe!$N$31:$N$48=D51)*(Ergebniseingabe!$AJ$31:$AJ$48=E51)*(Ergebniseingabe!$BE$31:$BE$48))&amp;":"&amp;SUMPRODUCT((Ergebniseingabe!$N$31:$N$48=D51)*(Ergebniseingabe!$AJ$31:$AJ$48=E51)*(Ergebniseingabe!$BH$31:$BH$48)),"")</f>
      </c>
      <c r="G51" s="3">
        <f>IF(SUMPRODUCT((Ergebniseingabe!$AJ$31:$AJ$48=D51)*(Ergebniseingabe!$N$31:$N$48=E51)*(ISNUMBER(Ergebniseingabe!$BH$31:$BH$48)))=1,SUMPRODUCT((Ergebniseingabe!$AJ$31:$AJ$48=D51)*(Ergebniseingabe!$N$31:$N$48=E51)*(Ergebniseingabe!$BH$31:$BH$48))&amp;":"&amp;SUMPRODUCT((Ergebniseingabe!$AJ$31:$AJ$48=D51)*(Ergebniseingabe!$N$31:$N$48=E51)*(Ergebniseingabe!$BE$31:$BE$48)),"")</f>
      </c>
      <c r="H51" s="32">
        <f>IF(SUMPRODUCT((Ergebniseingabe!$AJ$31:$AJ$48=D51)*(Ergebniseingabe!$N$31:$N$48=E51)*(ISNUMBER(Ergebniseingabe!$BE$31:$BE$48)))=1,SUMPRODUCT((Ergebniseingabe!$AJ$31:$AJ$48=D51)*(Ergebniseingabe!$N$31:$N$48=E51)*(Ergebniseingabe!$BH$31:$BH$48)),"")</f>
      </c>
      <c r="BS51" s="4"/>
      <c r="BT51" s="5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</row>
    <row r="52" spans="2:152" s="3" customFormat="1" ht="12.75">
      <c r="B52" s="3">
        <v>3</v>
      </c>
      <c r="C52" s="3" t="str">
        <f t="shared" si="0"/>
        <v>DJK Viktoria FrechenSV Rosellen 3</v>
      </c>
      <c r="D52" s="3" t="str">
        <f t="shared" si="1"/>
        <v>DJK Viktoria Frechen</v>
      </c>
      <c r="E52" s="3" t="str">
        <f t="shared" si="2"/>
        <v>SV Rosellen 3</v>
      </c>
      <c r="F52" s="3">
        <f>IF(SUMPRODUCT((Ergebniseingabe!$N$31:$N$48=D52)*(Ergebniseingabe!$AJ$31:$AJ$48=E52)*(ISNUMBER(Ergebniseingabe!$BH$31:$BH$48)))=1,SUMPRODUCT((Ergebniseingabe!$N$31:$N$48=D52)*(Ergebniseingabe!$AJ$31:$AJ$48=E52)*(Ergebniseingabe!$BE$31:$BE$48))&amp;":"&amp;SUMPRODUCT((Ergebniseingabe!$N$31:$N$48=D52)*(Ergebniseingabe!$AJ$31:$AJ$48=E52)*(Ergebniseingabe!$BH$31:$BH$48)),"")</f>
      </c>
      <c r="G52" s="3">
        <f>IF(SUMPRODUCT((Ergebniseingabe!$AJ$31:$AJ$48=D52)*(Ergebniseingabe!$N$31:$N$48=E52)*(ISNUMBER(Ergebniseingabe!$BH$31:$BH$48)))=1,SUMPRODUCT((Ergebniseingabe!$AJ$31:$AJ$48=D52)*(Ergebniseingabe!$N$31:$N$48=E52)*(Ergebniseingabe!$BH$31:$BH$48))&amp;":"&amp;SUMPRODUCT((Ergebniseingabe!$AJ$31:$AJ$48=D52)*(Ergebniseingabe!$N$31:$N$48=E52)*(Ergebniseingabe!$BE$31:$BE$48)),"")</f>
      </c>
      <c r="H52" s="32">
        <f>IF(SUMPRODUCT((Ergebniseingabe!$N$31:$N$48=D52)*(Ergebniseingabe!$AJ$31:$AJ$48=E52)*(ISNUMBER(Ergebniseingabe!$BH$31:$BH$48)))=1,SUMPRODUCT((Ergebniseingabe!$N$31:$N$48=D52)*(Ergebniseingabe!$AJ$31:$AJ$48=E52)*(Ergebniseingabe!$BE$31:$BE$48)),"")</f>
      </c>
      <c r="BS52" s="4"/>
      <c r="BT52" s="5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</row>
    <row r="53" spans="2:152" s="3" customFormat="1" ht="12.75">
      <c r="B53" s="3">
        <v>4</v>
      </c>
      <c r="C53" s="3" t="str">
        <f t="shared" si="0"/>
        <v>TuS HackenbroichDSC 99 Düsseldorf</v>
      </c>
      <c r="D53" s="3" t="str">
        <f t="shared" si="1"/>
        <v>TuS Hackenbroich</v>
      </c>
      <c r="E53" s="3" t="str">
        <f t="shared" si="2"/>
        <v>DSC 99 Düsseldorf</v>
      </c>
      <c r="F53" s="3">
        <f>IF(SUMPRODUCT((Ergebniseingabe!$N$31:$N$48=D53)*(Ergebniseingabe!$AJ$31:$AJ$48=E53)*(ISNUMBER(Ergebniseingabe!$BH$31:$BH$48)))=1,SUMPRODUCT((Ergebniseingabe!$N$31:$N$48=D53)*(Ergebniseingabe!$AJ$31:$AJ$48=E53)*(Ergebniseingabe!$BE$31:$BE$48))&amp;":"&amp;SUMPRODUCT((Ergebniseingabe!$N$31:$N$48=D53)*(Ergebniseingabe!$AJ$31:$AJ$48=E53)*(Ergebniseingabe!$BH$31:$BH$48)),"")</f>
      </c>
      <c r="G53" s="3">
        <f>IF(SUMPRODUCT((Ergebniseingabe!$AJ$31:$AJ$48=D53)*(Ergebniseingabe!$N$31:$N$48=E53)*(ISNUMBER(Ergebniseingabe!$BH$31:$BH$48)))=1,SUMPRODUCT((Ergebniseingabe!$AJ$31:$AJ$48=D53)*(Ergebniseingabe!$N$31:$N$48=E53)*(Ergebniseingabe!$BH$31:$BH$48))&amp;":"&amp;SUMPRODUCT((Ergebniseingabe!$AJ$31:$AJ$48=D53)*(Ergebniseingabe!$N$31:$N$48=E53)*(Ergebniseingabe!$BE$31:$BE$48)),"")</f>
      </c>
      <c r="H53" s="32">
        <f>IF(SUMPRODUCT((Ergebniseingabe!$AJ$31:$AJ$48=D53)*(Ergebniseingabe!$N$31:$N$48=E53)*(ISNUMBER(Ergebniseingabe!$BE$31:$BE$48)))=1,SUMPRODUCT((Ergebniseingabe!$AJ$31:$AJ$48=D53)*(Ergebniseingabe!$N$31:$N$48=E53)*(Ergebniseingabe!$BH$31:$BH$48)),"")</f>
      </c>
      <c r="BS53" s="4"/>
      <c r="BT53" s="5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</row>
    <row r="54" spans="2:152" s="3" customFormat="1" ht="12.75">
      <c r="B54" s="3">
        <v>5</v>
      </c>
      <c r="C54" s="3" t="str">
        <f t="shared" si="0"/>
        <v>DJK Viktoria FrechenDSC 99 Düsseldorf</v>
      </c>
      <c r="D54" s="3" t="str">
        <f t="shared" si="1"/>
        <v>DJK Viktoria Frechen</v>
      </c>
      <c r="E54" s="3" t="str">
        <f t="shared" si="2"/>
        <v>DSC 99 Düsseldorf</v>
      </c>
      <c r="F54" s="3">
        <f>IF(SUMPRODUCT((Ergebniseingabe!$N$31:$N$48=D54)*(Ergebniseingabe!$AJ$31:$AJ$48=E54)*(ISNUMBER(Ergebniseingabe!$BH$31:$BH$48)))=1,SUMPRODUCT((Ergebniseingabe!$N$31:$N$48=D54)*(Ergebniseingabe!$AJ$31:$AJ$48=E54)*(Ergebniseingabe!$BE$31:$BE$48))&amp;":"&amp;SUMPRODUCT((Ergebniseingabe!$N$31:$N$48=D54)*(Ergebniseingabe!$AJ$31:$AJ$48=E54)*(Ergebniseingabe!$BH$31:$BH$48)),"")</f>
      </c>
      <c r="G54" s="3">
        <f>IF(SUMPRODUCT((Ergebniseingabe!$AJ$31:$AJ$48=D54)*(Ergebniseingabe!$N$31:$N$48=E54)*(ISNUMBER(Ergebniseingabe!$BH$31:$BH$48)))=1,SUMPRODUCT((Ergebniseingabe!$AJ$31:$AJ$48=D54)*(Ergebniseingabe!$N$31:$N$48=E54)*(Ergebniseingabe!$BH$31:$BH$48))&amp;":"&amp;SUMPRODUCT((Ergebniseingabe!$AJ$31:$AJ$48=D54)*(Ergebniseingabe!$N$31:$N$48=E54)*(Ergebniseingabe!$BE$31:$BE$48)),"")</f>
      </c>
      <c r="H54" s="32">
        <f>IF(SUMPRODUCT((Ergebniseingabe!$AJ$31:$AJ$48=D54)*(Ergebniseingabe!$N$31:$N$48=E54)*(ISNUMBER(Ergebniseingabe!$BE$31:$BE$48)))=1,SUMPRODUCT((Ergebniseingabe!$AJ$31:$AJ$48=D54)*(Ergebniseingabe!$N$31:$N$48=E54)*(Ergebniseingabe!$BH$31:$BH$48)),"")</f>
      </c>
      <c r="BS54" s="4"/>
      <c r="BT54" s="5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</row>
    <row r="55" spans="2:152" s="3" customFormat="1" ht="12.75">
      <c r="B55" s="3">
        <v>6</v>
      </c>
      <c r="C55" s="3" t="str">
        <f t="shared" si="0"/>
        <v>DJK Viktoria FrechenTuS Hackenbroich</v>
      </c>
      <c r="D55" s="3" t="str">
        <f t="shared" si="1"/>
        <v>DJK Viktoria Frechen</v>
      </c>
      <c r="E55" s="3" t="str">
        <f t="shared" si="2"/>
        <v>TuS Hackenbroich</v>
      </c>
      <c r="F55" s="3">
        <f>IF(SUMPRODUCT((Ergebniseingabe!$N$31:$N$48=D55)*(Ergebniseingabe!$AJ$31:$AJ$48=E55)*(ISNUMBER(Ergebniseingabe!$BH$31:$BH$48)))=1,SUMPRODUCT((Ergebniseingabe!$N$31:$N$48=D55)*(Ergebniseingabe!$AJ$31:$AJ$48=E55)*(Ergebniseingabe!$BE$31:$BE$48))&amp;":"&amp;SUMPRODUCT((Ergebniseingabe!$N$31:$N$48=D55)*(Ergebniseingabe!$AJ$31:$AJ$48=E55)*(Ergebniseingabe!$BH$31:$BH$48)),"")</f>
      </c>
      <c r="G55" s="3">
        <f>IF(SUMPRODUCT((Ergebniseingabe!$AJ$31:$AJ$48=D55)*(Ergebniseingabe!$N$31:$N$48=E55)*(ISNUMBER(Ergebniseingabe!$BH$31:$BH$48)))=1,SUMPRODUCT((Ergebniseingabe!$AJ$31:$AJ$48=D55)*(Ergebniseingabe!$N$31:$N$48=E55)*(Ergebniseingabe!$BH$31:$BH$48))&amp;":"&amp;SUMPRODUCT((Ergebniseingabe!$AJ$31:$AJ$48=D55)*(Ergebniseingabe!$N$31:$N$48=E55)*(Ergebniseingabe!$BE$31:$BE$48)),"")</f>
      </c>
      <c r="H55" s="32">
        <f>IF(SUMPRODUCT((Ergebniseingabe!$AJ$31:$AJ$48=D55)*(Ergebniseingabe!$N$31:$N$48=E55)*(ISNUMBER(Ergebniseingabe!$BE$31:$BE$48)))=1,SUMPRODUCT((Ergebniseingabe!$AJ$31:$AJ$48=D55)*(Ergebniseingabe!$N$31:$N$48=E55)*(Ergebniseingabe!$BH$31:$BH$48)),"")</f>
      </c>
      <c r="BS55" s="4"/>
      <c r="BT55" s="5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</row>
    <row r="56" spans="2:152" s="3" customFormat="1" ht="12.75">
      <c r="B56" s="3">
        <v>1</v>
      </c>
      <c r="C56" s="3" t="str">
        <f t="shared" si="0"/>
        <v>SV Rosellen 1SV Nütterden</v>
      </c>
      <c r="D56" s="3" t="str">
        <f>F15</f>
        <v>SV Rosellen 1</v>
      </c>
      <c r="E56" s="3" t="str">
        <f>F16</f>
        <v>SV Nütterden</v>
      </c>
      <c r="F56" s="3">
        <f>IF(SUMPRODUCT((Ergebniseingabe!$N$31:$N$48=D56)*(Ergebniseingabe!$AJ$31:$AJ$48=E56)*(ISNUMBER(Ergebniseingabe!$BH$31:$BH$48)))=1,SUMPRODUCT((Ergebniseingabe!$N$31:$N$48=D56)*(Ergebniseingabe!$AJ$31:$AJ$48=E56)*(Ergebniseingabe!$BE$31:$BE$48))&amp;":"&amp;SUMPRODUCT((Ergebniseingabe!$N$31:$N$48=D56)*(Ergebniseingabe!$AJ$31:$AJ$48=E56)*(Ergebniseingabe!$BH$31:$BH$48)),"")</f>
      </c>
      <c r="G56" s="3">
        <f>IF(SUMPRODUCT((Ergebniseingabe!$AJ$31:$AJ$48=D56)*(Ergebniseingabe!$N$31:$N$48=E56)*(ISNUMBER(Ergebniseingabe!$BH$31:$BH$48)))=1,SUMPRODUCT((Ergebniseingabe!$AJ$31:$AJ$48=D56)*(Ergebniseingabe!$N$31:$N$48=E56)*(Ergebniseingabe!$BH$31:$BH$48))&amp;":"&amp;SUMPRODUCT((Ergebniseingabe!$AJ$31:$AJ$48=D56)*(Ergebniseingabe!$N$31:$N$48=E56)*(Ergebniseingabe!$BE$31:$BE$48)),"")</f>
      </c>
      <c r="H56" s="32">
        <f>IF(SUMPRODUCT((Ergebniseingabe!$N$31:$N$48=D56)*(Ergebniseingabe!$AJ$31:$AJ$48=E56)*(ISNUMBER(Ergebniseingabe!$BH$31:$BH$48)))=1,SUMPRODUCT((Ergebniseingabe!$N$31:$N$48=D56)*(Ergebniseingabe!$AJ$31:$AJ$48=E56)*(Ergebniseingabe!$BE$31:$BE$48)),"")</f>
      </c>
      <c r="BS56" s="4"/>
      <c r="BT56" s="5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  <row r="57" spans="2:152" s="3" customFormat="1" ht="12.75">
      <c r="B57" s="3">
        <v>2</v>
      </c>
      <c r="C57" s="3" t="str">
        <f t="shared" si="0"/>
        <v>SV Rosellen 11. FC Quadrath Ichendorf</v>
      </c>
      <c r="D57" s="3" t="str">
        <f>F15</f>
        <v>SV Rosellen 1</v>
      </c>
      <c r="E57" s="3" t="str">
        <f>F17</f>
        <v>1. FC Quadrath Ichendorf</v>
      </c>
      <c r="F57" s="3">
        <f>IF(SUMPRODUCT((Ergebniseingabe!$N$31:$N$48=D57)*(Ergebniseingabe!$AJ$31:$AJ$48=E57)*(ISNUMBER(Ergebniseingabe!$BH$31:$BH$48)))=1,SUMPRODUCT((Ergebniseingabe!$N$31:$N$48=D57)*(Ergebniseingabe!$AJ$31:$AJ$48=E57)*(Ergebniseingabe!$BE$31:$BE$48))&amp;":"&amp;SUMPRODUCT((Ergebniseingabe!$N$31:$N$48=D57)*(Ergebniseingabe!$AJ$31:$AJ$48=E57)*(Ergebniseingabe!$BH$31:$BH$48)),"")</f>
      </c>
      <c r="G57" s="3">
        <f>IF(SUMPRODUCT((Ergebniseingabe!$AJ$31:$AJ$48=D57)*(Ergebniseingabe!$N$31:$N$48=E57)*(ISNUMBER(Ergebniseingabe!$BH$31:$BH$48)))=1,SUMPRODUCT((Ergebniseingabe!$AJ$31:$AJ$48=D57)*(Ergebniseingabe!$N$31:$N$48=E57)*(Ergebniseingabe!$BH$31:$BH$48))&amp;":"&amp;SUMPRODUCT((Ergebniseingabe!$AJ$31:$AJ$48=D57)*(Ergebniseingabe!$N$31:$N$48=E57)*(Ergebniseingabe!$BE$31:$BE$48)),"")</f>
      </c>
      <c r="H57" s="32">
        <f>IF(SUMPRODUCT((Ergebniseingabe!$N$31:$N$48=D57)*(Ergebniseingabe!$AJ$31:$AJ$48=E57)*(ISNUMBER(Ergebniseingabe!$BH$31:$BH$48)))=1,SUMPRODUCT((Ergebniseingabe!$N$31:$N$48=D57)*(Ergebniseingabe!$AJ$31:$AJ$48=E57)*(Ergebniseingabe!$BE$31:$BE$48)),"")</f>
      </c>
      <c r="BS57" s="4"/>
      <c r="BT57" s="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</row>
    <row r="58" spans="2:152" s="3" customFormat="1" ht="12.75">
      <c r="B58" s="3">
        <v>3</v>
      </c>
      <c r="C58" s="3" t="str">
        <f t="shared" si="0"/>
        <v>SV Rosellen 1SC Blau-Weiß 06 Köln</v>
      </c>
      <c r="D58" s="3" t="str">
        <f>F15</f>
        <v>SV Rosellen 1</v>
      </c>
      <c r="E58" s="3" t="str">
        <f>F18</f>
        <v>SC Blau-Weiß 06 Köln</v>
      </c>
      <c r="F58" s="3">
        <f>IF(SUMPRODUCT((Ergebniseingabe!$N$31:$N$48=D58)*(Ergebniseingabe!$AJ$31:$AJ$48=E58)*(ISNUMBER(Ergebniseingabe!$BH$31:$BH$48)))=1,SUMPRODUCT((Ergebniseingabe!$N$31:$N$48=D58)*(Ergebniseingabe!$AJ$31:$AJ$48=E58)*(Ergebniseingabe!$BE$31:$BE$48))&amp;":"&amp;SUMPRODUCT((Ergebniseingabe!$N$31:$N$48=D58)*(Ergebniseingabe!$AJ$31:$AJ$48=E58)*(Ergebniseingabe!$BH$31:$BH$48)),"")</f>
      </c>
      <c r="G58" s="3">
        <f>IF(SUMPRODUCT((Ergebniseingabe!$AJ$31:$AJ$48=D58)*(Ergebniseingabe!$N$31:$N$48=E58)*(ISNUMBER(Ergebniseingabe!$BH$31:$BH$48)))=1,SUMPRODUCT((Ergebniseingabe!$AJ$31:$AJ$48=D58)*(Ergebniseingabe!$N$31:$N$48=E58)*(Ergebniseingabe!$BH$31:$BH$48))&amp;":"&amp;SUMPRODUCT((Ergebniseingabe!$AJ$31:$AJ$48=D58)*(Ergebniseingabe!$N$31:$N$48=E58)*(Ergebniseingabe!$BE$31:$BE$48)),"")</f>
      </c>
      <c r="H58" s="32">
        <f>IF(SUMPRODUCT((Ergebniseingabe!$AJ$31:$AJ$48=D58)*(Ergebniseingabe!$N$31:$N$48=E58)*(ISNUMBER(Ergebniseingabe!$BE$31:$BE$48)))=1,SUMPRODUCT((Ergebniseingabe!$AJ$31:$AJ$48=D58)*(Ergebniseingabe!$N$31:$N$48=E58)*(Ergebniseingabe!$BH$31:$BH$48)),"")</f>
      </c>
      <c r="BS58" s="4"/>
      <c r="BT58" s="5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</row>
    <row r="59" spans="2:152" s="3" customFormat="1" ht="12.75">
      <c r="B59" s="3">
        <v>4</v>
      </c>
      <c r="C59" s="3" t="str">
        <f t="shared" si="0"/>
        <v>SV Nütterden1. FC Quadrath Ichendorf</v>
      </c>
      <c r="D59" s="3" t="str">
        <f>F16</f>
        <v>SV Nütterden</v>
      </c>
      <c r="E59" s="3" t="str">
        <f>F17</f>
        <v>1. FC Quadrath Ichendorf</v>
      </c>
      <c r="F59" s="3">
        <f>IF(SUMPRODUCT((Ergebniseingabe!$N$31:$N$48=D59)*(Ergebniseingabe!$AJ$31:$AJ$48=E59)*(ISNUMBER(Ergebniseingabe!$BH$31:$BH$48)))=1,SUMPRODUCT((Ergebniseingabe!$N$31:$N$48=D59)*(Ergebniseingabe!$AJ$31:$AJ$48=E59)*(Ergebniseingabe!$BE$31:$BE$48))&amp;":"&amp;SUMPRODUCT((Ergebniseingabe!$N$31:$N$48=D59)*(Ergebniseingabe!$AJ$31:$AJ$48=E59)*(Ergebniseingabe!$BH$31:$BH$48)),"")</f>
      </c>
      <c r="G59" s="3">
        <f>IF(SUMPRODUCT((Ergebniseingabe!$AJ$31:$AJ$48=D59)*(Ergebniseingabe!$N$31:$N$48=E59)*(ISNUMBER(Ergebniseingabe!$BH$31:$BH$48)))=1,SUMPRODUCT((Ergebniseingabe!$AJ$31:$AJ$48=D59)*(Ergebniseingabe!$N$31:$N$48=E59)*(Ergebniseingabe!$BH$31:$BH$48))&amp;":"&amp;SUMPRODUCT((Ergebniseingabe!$AJ$31:$AJ$48=D59)*(Ergebniseingabe!$N$31:$N$48=E59)*(Ergebniseingabe!$BE$31:$BE$48)),"")</f>
      </c>
      <c r="H59" s="32">
        <f>IF(SUMPRODUCT((Ergebniseingabe!$N$31:$N$48=D59)*(Ergebniseingabe!$AJ$31:$AJ$48=E59)*(ISNUMBER(Ergebniseingabe!$BH$31:$BH$48)))=1,SUMPRODUCT((Ergebniseingabe!$N$31:$N$48=D59)*(Ergebniseingabe!$AJ$31:$AJ$48=E59)*(Ergebniseingabe!$BE$31:$BE$48)),"")</f>
      </c>
      <c r="BS59" s="4"/>
      <c r="BT59" s="5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</row>
    <row r="60" spans="2:152" s="3" customFormat="1" ht="12.75">
      <c r="B60" s="3">
        <v>5</v>
      </c>
      <c r="C60" s="3" t="str">
        <f t="shared" si="0"/>
        <v>SV NütterdenSC Blau-Weiß 06 Köln</v>
      </c>
      <c r="D60" s="3" t="str">
        <f>F16</f>
        <v>SV Nütterden</v>
      </c>
      <c r="E60" s="3" t="str">
        <f>F18</f>
        <v>SC Blau-Weiß 06 Köln</v>
      </c>
      <c r="F60" s="3">
        <f>IF(SUMPRODUCT((Ergebniseingabe!$N$31:$N$48=D60)*(Ergebniseingabe!$AJ$31:$AJ$48=E60)*(ISNUMBER(Ergebniseingabe!$BH$31:$BH$48)))=1,SUMPRODUCT((Ergebniseingabe!$N$31:$N$48=D60)*(Ergebniseingabe!$AJ$31:$AJ$48=E60)*(Ergebniseingabe!$BE$31:$BE$48))&amp;":"&amp;SUMPRODUCT((Ergebniseingabe!$N$31:$N$48=D60)*(Ergebniseingabe!$AJ$31:$AJ$48=E60)*(Ergebniseingabe!$BH$31:$BH$48)),"")</f>
      </c>
      <c r="G60" s="3">
        <f>IF(SUMPRODUCT((Ergebniseingabe!$AJ$31:$AJ$48=D60)*(Ergebniseingabe!$N$31:$N$48=E60)*(ISNUMBER(Ergebniseingabe!$BH$31:$BH$48)))=1,SUMPRODUCT((Ergebniseingabe!$AJ$31:$AJ$48=D60)*(Ergebniseingabe!$N$31:$N$48=E60)*(Ergebniseingabe!$BH$31:$BH$48))&amp;":"&amp;SUMPRODUCT((Ergebniseingabe!$AJ$31:$AJ$48=D60)*(Ergebniseingabe!$N$31:$N$48=E60)*(Ergebniseingabe!$BE$31:$BE$48)),"")</f>
      </c>
      <c r="H60" s="32">
        <f>IF(SUMPRODUCT((Ergebniseingabe!$N$31:$N$48=D60)*(Ergebniseingabe!$AJ$31:$AJ$48=E60)*(ISNUMBER(Ergebniseingabe!$BH$31:$BH$48)))=1,SUMPRODUCT((Ergebniseingabe!$N$31:$N$48=D60)*(Ergebniseingabe!$AJ$31:$AJ$48=E60)*(Ergebniseingabe!$BE$31:$BE$48)),"")</f>
      </c>
      <c r="BS60" s="4"/>
      <c r="BT60" s="5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</row>
    <row r="61" spans="2:152" s="3" customFormat="1" ht="12.75">
      <c r="B61" s="3">
        <v>6</v>
      </c>
      <c r="C61" s="3" t="str">
        <f t="shared" si="0"/>
        <v>1. FC Quadrath IchendorfSC Blau-Weiß 06 Köln</v>
      </c>
      <c r="D61" s="3" t="str">
        <f>F17</f>
        <v>1. FC Quadrath Ichendorf</v>
      </c>
      <c r="E61" s="3" t="str">
        <f>F18</f>
        <v>SC Blau-Weiß 06 Köln</v>
      </c>
      <c r="F61" s="3">
        <f>IF(SUMPRODUCT((Ergebniseingabe!$N$31:$N$48=D61)*(Ergebniseingabe!$AJ$31:$AJ$48=E61)*(ISNUMBER(Ergebniseingabe!$BH$31:$BH$48)))=1,SUMPRODUCT((Ergebniseingabe!$N$31:$N$48=D61)*(Ergebniseingabe!$AJ$31:$AJ$48=E61)*(Ergebniseingabe!$BE$31:$BE$48))&amp;":"&amp;SUMPRODUCT((Ergebniseingabe!$N$31:$N$48=D61)*(Ergebniseingabe!$AJ$31:$AJ$48=E61)*(Ergebniseingabe!$BH$31:$BH$48)),"")</f>
      </c>
      <c r="G61" s="3">
        <f>IF(SUMPRODUCT((Ergebniseingabe!$AJ$31:$AJ$48=D61)*(Ergebniseingabe!$N$31:$N$48=E61)*(ISNUMBER(Ergebniseingabe!$BH$31:$BH$48)))=1,SUMPRODUCT((Ergebniseingabe!$AJ$31:$AJ$48=D61)*(Ergebniseingabe!$N$31:$N$48=E61)*(Ergebniseingabe!$BH$31:$BH$48))&amp;":"&amp;SUMPRODUCT((Ergebniseingabe!$AJ$31:$AJ$48=D61)*(Ergebniseingabe!$N$31:$N$48=E61)*(Ergebniseingabe!$BE$31:$BE$48)),"")</f>
      </c>
      <c r="H61" s="32">
        <f>IF(SUMPRODUCT((Ergebniseingabe!$N$31:$N$48=D61)*(Ergebniseingabe!$AJ$31:$AJ$48=E61)*(ISNUMBER(Ergebniseingabe!$BH$31:$BH$48)))=1,SUMPRODUCT((Ergebniseingabe!$N$31:$N$48=D61)*(Ergebniseingabe!$AJ$31:$AJ$48=E61)*(Ergebniseingabe!$BE$31:$BE$48)),"")</f>
      </c>
      <c r="BS61" s="4"/>
      <c r="BT61" s="5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</row>
    <row r="62" spans="2:152" s="3" customFormat="1" ht="12.75">
      <c r="B62" s="3">
        <v>1</v>
      </c>
      <c r="C62" s="3" t="str">
        <f t="shared" si="0"/>
        <v>SV NütterdenSV Rosellen 1</v>
      </c>
      <c r="D62" s="3" t="str">
        <f aca="true" t="shared" si="3" ref="D62:D67">E56</f>
        <v>SV Nütterden</v>
      </c>
      <c r="E62" s="3" t="str">
        <f aca="true" t="shared" si="4" ref="E62:E67">D56</f>
        <v>SV Rosellen 1</v>
      </c>
      <c r="F62" s="3">
        <f>IF(SUMPRODUCT((Ergebniseingabe!$N$31:$N$48=D62)*(Ergebniseingabe!$AJ$31:$AJ$48=E62)*(ISNUMBER(Ergebniseingabe!$BH$31:$BH$48)))=1,SUMPRODUCT((Ergebniseingabe!$N$31:$N$48=D62)*(Ergebniseingabe!$AJ$31:$AJ$48=E62)*(Ergebniseingabe!$BE$31:$BE$48))&amp;":"&amp;SUMPRODUCT((Ergebniseingabe!$N$31:$N$48=D62)*(Ergebniseingabe!$AJ$31:$AJ$48=E62)*(Ergebniseingabe!$BH$31:$BH$48)),"")</f>
      </c>
      <c r="G62" s="3">
        <f>IF(SUMPRODUCT((Ergebniseingabe!$AJ$31:$AJ$48=D62)*(Ergebniseingabe!$N$31:$N$48=E62)*(ISNUMBER(Ergebniseingabe!$BH$31:$BH$48)))=1,SUMPRODUCT((Ergebniseingabe!$AJ$31:$AJ$48=D62)*(Ergebniseingabe!$N$31:$N$48=E62)*(Ergebniseingabe!$BH$31:$BH$48))&amp;":"&amp;SUMPRODUCT((Ergebniseingabe!$AJ$31:$AJ$48=D62)*(Ergebniseingabe!$N$31:$N$48=E62)*(Ergebniseingabe!$BE$31:$BE$48)),"")</f>
      </c>
      <c r="H62" s="32">
        <f>IF(SUMPRODUCT((Ergebniseingabe!$AJ$31:$AJ$48=D62)*(Ergebniseingabe!$N$31:$N$48=E62)*(ISNUMBER(Ergebniseingabe!$BE$31:$BE$48)))=1,SUMPRODUCT((Ergebniseingabe!$AJ$31:$AJ$48=D62)*(Ergebniseingabe!$N$31:$N$48=E62)*(Ergebniseingabe!$BH$31:$BH$48)),"")</f>
      </c>
      <c r="BS62" s="4"/>
      <c r="BT62" s="5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</row>
    <row r="63" spans="2:152" s="3" customFormat="1" ht="12.75">
      <c r="B63" s="3">
        <v>2</v>
      </c>
      <c r="C63" s="3" t="str">
        <f t="shared" si="0"/>
        <v>1. FC Quadrath IchendorfSV Rosellen 1</v>
      </c>
      <c r="D63" s="3" t="str">
        <f t="shared" si="3"/>
        <v>1. FC Quadrath Ichendorf</v>
      </c>
      <c r="E63" s="3" t="str">
        <f t="shared" si="4"/>
        <v>SV Rosellen 1</v>
      </c>
      <c r="F63" s="3">
        <f>IF(SUMPRODUCT((Ergebniseingabe!$N$31:$N$48=D63)*(Ergebniseingabe!$AJ$31:$AJ$48=E63)*(ISNUMBER(Ergebniseingabe!$BH$31:$BH$48)))=1,SUMPRODUCT((Ergebniseingabe!$N$31:$N$48=D63)*(Ergebniseingabe!$AJ$31:$AJ$48=E63)*(Ergebniseingabe!$BE$31:$BE$48))&amp;":"&amp;SUMPRODUCT((Ergebniseingabe!$N$31:$N$48=D63)*(Ergebniseingabe!$AJ$31:$AJ$48=E63)*(Ergebniseingabe!$BH$31:$BH$48)),"")</f>
      </c>
      <c r="G63" s="3">
        <f>IF(SUMPRODUCT((Ergebniseingabe!$AJ$31:$AJ$48=D63)*(Ergebniseingabe!$N$31:$N$48=E63)*(ISNUMBER(Ergebniseingabe!$BH$31:$BH$48)))=1,SUMPRODUCT((Ergebniseingabe!$AJ$31:$AJ$48=D63)*(Ergebniseingabe!$N$31:$N$48=E63)*(Ergebniseingabe!$BH$31:$BH$48))&amp;":"&amp;SUMPRODUCT((Ergebniseingabe!$AJ$31:$AJ$48=D63)*(Ergebniseingabe!$N$31:$N$48=E63)*(Ergebniseingabe!$BE$31:$BE$48)),"")</f>
      </c>
      <c r="H63" s="32">
        <f>IF(SUMPRODUCT((Ergebniseingabe!$AJ$31:$AJ$48=D63)*(Ergebniseingabe!$N$31:$N$48=E63)*(ISNUMBER(Ergebniseingabe!$BE$31:$BE$48)))=1,SUMPRODUCT((Ergebniseingabe!$AJ$31:$AJ$48=D63)*(Ergebniseingabe!$N$31:$N$48=E63)*(Ergebniseingabe!$BH$31:$BH$48)),"")</f>
      </c>
      <c r="BS63" s="4"/>
      <c r="BT63" s="5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</row>
    <row r="64" spans="2:152" s="3" customFormat="1" ht="12.75">
      <c r="B64" s="3">
        <v>3</v>
      </c>
      <c r="C64" s="3" t="str">
        <f t="shared" si="0"/>
        <v>SC Blau-Weiß 06 KölnSV Rosellen 1</v>
      </c>
      <c r="D64" s="3" t="str">
        <f t="shared" si="3"/>
        <v>SC Blau-Weiß 06 Köln</v>
      </c>
      <c r="E64" s="3" t="str">
        <f t="shared" si="4"/>
        <v>SV Rosellen 1</v>
      </c>
      <c r="F64" s="3">
        <f>IF(SUMPRODUCT((Ergebniseingabe!$N$31:$N$48=D64)*(Ergebniseingabe!$AJ$31:$AJ$48=E64)*(ISNUMBER(Ergebniseingabe!$BH$31:$BH$48)))=1,SUMPRODUCT((Ergebniseingabe!$N$31:$N$48=D64)*(Ergebniseingabe!$AJ$31:$AJ$48=E64)*(Ergebniseingabe!$BE$31:$BE$48))&amp;":"&amp;SUMPRODUCT((Ergebniseingabe!$N$31:$N$48=D64)*(Ergebniseingabe!$AJ$31:$AJ$48=E64)*(Ergebniseingabe!$BH$31:$BH$48)),"")</f>
      </c>
      <c r="G64" s="3">
        <f>IF(SUMPRODUCT((Ergebniseingabe!$AJ$31:$AJ$48=D64)*(Ergebniseingabe!$N$31:$N$48=E64)*(ISNUMBER(Ergebniseingabe!$BH$31:$BH$48)))=1,SUMPRODUCT((Ergebniseingabe!$AJ$31:$AJ$48=D64)*(Ergebniseingabe!$N$31:$N$48=E64)*(Ergebniseingabe!$BH$31:$BH$48))&amp;":"&amp;SUMPRODUCT((Ergebniseingabe!$AJ$31:$AJ$48=D64)*(Ergebniseingabe!$N$31:$N$48=E64)*(Ergebniseingabe!$BE$31:$BE$48)),"")</f>
      </c>
      <c r="H64" s="32">
        <f>IF(SUMPRODUCT((Ergebniseingabe!$N$31:$N$48=D64)*(Ergebniseingabe!$AJ$31:$AJ$48=E64)*(ISNUMBER(Ergebniseingabe!$BH$31:$BH$48)))=1,SUMPRODUCT((Ergebniseingabe!$N$31:$N$48=D64)*(Ergebniseingabe!$AJ$31:$AJ$48=E64)*(Ergebniseingabe!$BE$31:$BE$48)),"")</f>
      </c>
      <c r="BS64" s="4"/>
      <c r="BT64" s="5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</row>
    <row r="65" spans="2:152" s="3" customFormat="1" ht="12.75">
      <c r="B65" s="3">
        <v>4</v>
      </c>
      <c r="C65" s="3" t="str">
        <f t="shared" si="0"/>
        <v>1. FC Quadrath IchendorfSV Nütterden</v>
      </c>
      <c r="D65" s="3" t="str">
        <f t="shared" si="3"/>
        <v>1. FC Quadrath Ichendorf</v>
      </c>
      <c r="E65" s="3" t="str">
        <f t="shared" si="4"/>
        <v>SV Nütterden</v>
      </c>
      <c r="F65" s="3">
        <f>IF(SUMPRODUCT((Ergebniseingabe!$N$31:$N$48=D65)*(Ergebniseingabe!$AJ$31:$AJ$48=E65)*(ISNUMBER(Ergebniseingabe!$BH$31:$BH$48)))=1,SUMPRODUCT((Ergebniseingabe!$N$31:$N$48=D65)*(Ergebniseingabe!$AJ$31:$AJ$48=E65)*(Ergebniseingabe!$BE$31:$BE$48))&amp;":"&amp;SUMPRODUCT((Ergebniseingabe!$N$31:$N$48=D65)*(Ergebniseingabe!$AJ$31:$AJ$48=E65)*(Ergebniseingabe!$BH$31:$BH$48)),"")</f>
      </c>
      <c r="G65" s="3">
        <f>IF(SUMPRODUCT((Ergebniseingabe!$AJ$31:$AJ$48=D65)*(Ergebniseingabe!$N$31:$N$48=E65)*(ISNUMBER(Ergebniseingabe!$BH$31:$BH$48)))=1,SUMPRODUCT((Ergebniseingabe!$AJ$31:$AJ$48=D65)*(Ergebniseingabe!$N$31:$N$48=E65)*(Ergebniseingabe!$BH$31:$BH$48))&amp;":"&amp;SUMPRODUCT((Ergebniseingabe!$AJ$31:$AJ$48=D65)*(Ergebniseingabe!$N$31:$N$48=E65)*(Ergebniseingabe!$BE$31:$BE$48)),"")</f>
      </c>
      <c r="H65" s="32">
        <f>IF(SUMPRODUCT((Ergebniseingabe!$AJ$31:$AJ$48=D65)*(Ergebniseingabe!$N$31:$N$48=E65)*(ISNUMBER(Ergebniseingabe!$BE$31:$BE$48)))=1,SUMPRODUCT((Ergebniseingabe!$AJ$31:$AJ$48=D65)*(Ergebniseingabe!$N$31:$N$48=E65)*(Ergebniseingabe!$BH$31:$BH$48)),"")</f>
      </c>
      <c r="BS65" s="4"/>
      <c r="BT65" s="5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</row>
    <row r="66" spans="2:152" s="3" customFormat="1" ht="12.75">
      <c r="B66" s="3">
        <v>5</v>
      </c>
      <c r="C66" s="3" t="str">
        <f t="shared" si="0"/>
        <v>SC Blau-Weiß 06 KölnSV Nütterden</v>
      </c>
      <c r="D66" s="3" t="str">
        <f t="shared" si="3"/>
        <v>SC Blau-Weiß 06 Köln</v>
      </c>
      <c r="E66" s="3" t="str">
        <f t="shared" si="4"/>
        <v>SV Nütterden</v>
      </c>
      <c r="F66" s="3">
        <f>IF(SUMPRODUCT((Ergebniseingabe!$N$31:$N$48=D66)*(Ergebniseingabe!$AJ$31:$AJ$48=E66)*(ISNUMBER(Ergebniseingabe!$BH$31:$BH$48)))=1,SUMPRODUCT((Ergebniseingabe!$N$31:$N$48=D66)*(Ergebniseingabe!$AJ$31:$AJ$48=E66)*(Ergebniseingabe!$BE$31:$BE$48))&amp;":"&amp;SUMPRODUCT((Ergebniseingabe!$N$31:$N$48=D66)*(Ergebniseingabe!$AJ$31:$AJ$48=E66)*(Ergebniseingabe!$BH$31:$BH$48)),"")</f>
      </c>
      <c r="G66" s="3">
        <f>IF(SUMPRODUCT((Ergebniseingabe!$AJ$31:$AJ$48=D66)*(Ergebniseingabe!$N$31:$N$48=E66)*(ISNUMBER(Ergebniseingabe!$BH$31:$BH$48)))=1,SUMPRODUCT((Ergebniseingabe!$AJ$31:$AJ$48=D66)*(Ergebniseingabe!$N$31:$N$48=E66)*(Ergebniseingabe!$BH$31:$BH$48))&amp;":"&amp;SUMPRODUCT((Ergebniseingabe!$AJ$31:$AJ$48=D66)*(Ergebniseingabe!$N$31:$N$48=E66)*(Ergebniseingabe!$BE$31:$BE$48)),"")</f>
      </c>
      <c r="H66" s="32">
        <f>IF(SUMPRODUCT((Ergebniseingabe!$AJ$31:$AJ$48=D66)*(Ergebniseingabe!$N$31:$N$48=E66)*(ISNUMBER(Ergebniseingabe!$BE$31:$BE$48)))=1,SUMPRODUCT((Ergebniseingabe!$AJ$31:$AJ$48=D66)*(Ergebniseingabe!$N$31:$N$48=E66)*(Ergebniseingabe!$BH$31:$BH$48)),"")</f>
      </c>
      <c r="BS66" s="4"/>
      <c r="BT66" s="5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</row>
    <row r="67" spans="2:152" s="72" customFormat="1" ht="12.75">
      <c r="B67" s="3">
        <v>6</v>
      </c>
      <c r="C67" s="3" t="str">
        <f t="shared" si="0"/>
        <v>SC Blau-Weiß 06 Köln1. FC Quadrath Ichendorf</v>
      </c>
      <c r="D67" s="3" t="str">
        <f t="shared" si="3"/>
        <v>SC Blau-Weiß 06 Köln</v>
      </c>
      <c r="E67" s="3" t="str">
        <f t="shared" si="4"/>
        <v>1. FC Quadrath Ichendorf</v>
      </c>
      <c r="F67" s="3">
        <f>IF(SUMPRODUCT((Ergebniseingabe!$N$31:$N$48=D67)*(Ergebniseingabe!$AJ$31:$AJ$48=E67)*(ISNUMBER(Ergebniseingabe!$BH$31:$BH$48)))=1,SUMPRODUCT((Ergebniseingabe!$N$31:$N$48=D67)*(Ergebniseingabe!$AJ$31:$AJ$48=E67)*(Ergebniseingabe!$BE$31:$BE$48))&amp;":"&amp;SUMPRODUCT((Ergebniseingabe!$N$31:$N$48=D67)*(Ergebniseingabe!$AJ$31:$AJ$48=E67)*(Ergebniseingabe!$BH$31:$BH$48)),"")</f>
      </c>
      <c r="G67" s="3">
        <f>IF(SUMPRODUCT((Ergebniseingabe!$AJ$31:$AJ$48=D67)*(Ergebniseingabe!$N$31:$N$48=E67)*(ISNUMBER(Ergebniseingabe!$BH$31:$BH$48)))=1,SUMPRODUCT((Ergebniseingabe!$AJ$31:$AJ$48=D67)*(Ergebniseingabe!$N$31:$N$48=E67)*(Ergebniseingabe!$BH$31:$BH$48))&amp;":"&amp;SUMPRODUCT((Ergebniseingabe!$AJ$31:$AJ$48=D67)*(Ergebniseingabe!$N$31:$N$48=E67)*(Ergebniseingabe!$BE$31:$BE$48)),"")</f>
      </c>
      <c r="H67" s="32">
        <f>IF(SUMPRODUCT((Ergebniseingabe!$AJ$31:$AJ$48=D67)*(Ergebniseingabe!$N$31:$N$48=E67)*(ISNUMBER(Ergebniseingabe!$BE$31:$BE$48)))=1,SUMPRODUCT((Ergebniseingabe!$AJ$31:$AJ$48=D67)*(Ergebniseingabe!$N$31:$N$48=E67)*(Ergebniseingabe!$BH$31:$BH$48)),"")</f>
      </c>
      <c r="BS67" s="73"/>
      <c r="BT67" s="74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</row>
    <row r="68" spans="2:152" s="3" customFormat="1" ht="12.75">
      <c r="B68" s="3">
        <v>1</v>
      </c>
      <c r="C68" s="3" t="str">
        <f t="shared" si="0"/>
        <v>SV Rosellen 2SG Orken-Noithausen</v>
      </c>
      <c r="D68" s="3" t="str">
        <f>F25</f>
        <v>SV Rosellen 2</v>
      </c>
      <c r="E68" s="3" t="str">
        <f>F26</f>
        <v>SG Orken-Noithausen</v>
      </c>
      <c r="F68" s="3">
        <f>IF(SUMPRODUCT((Ergebniseingabe!$N$31:$N$48=D68)*(Ergebniseingabe!$AJ$31:$AJ$48=E68)*(ISNUMBER(Ergebniseingabe!$BH$31:$BH$48)))=1,SUMPRODUCT((Ergebniseingabe!$N$31:$N$48=D68)*(Ergebniseingabe!$AJ$31:$AJ$48=E68)*(Ergebniseingabe!$BE$31:$BE$48))&amp;":"&amp;SUMPRODUCT((Ergebniseingabe!$N$31:$N$48=D68)*(Ergebniseingabe!$AJ$31:$AJ$48=E68)*(Ergebniseingabe!$BH$31:$BH$48)),"")</f>
      </c>
      <c r="G68" s="3">
        <f>IF(SUMPRODUCT((Ergebniseingabe!$AJ$31:$AJ$48=D68)*(Ergebniseingabe!$N$31:$N$48=E68)*(ISNUMBER(Ergebniseingabe!$BH$31:$BH$48)))=1,SUMPRODUCT((Ergebniseingabe!$AJ$31:$AJ$48=D68)*(Ergebniseingabe!$N$31:$N$48=E68)*(Ergebniseingabe!$BH$31:$BH$48))&amp;":"&amp;SUMPRODUCT((Ergebniseingabe!$AJ$31:$AJ$48=D68)*(Ergebniseingabe!$N$31:$N$48=E68)*(Ergebniseingabe!$BE$31:$BE$48)),"")</f>
      </c>
      <c r="H68" s="32">
        <f>IF(SUMPRODUCT((Ergebniseingabe!$N$31:$N$48=D68)*(Ergebniseingabe!$AJ$31:$AJ$48=E68)*(ISNUMBER(Ergebniseingabe!$BH$31:$BH$48)))=1,SUMPRODUCT((Ergebniseingabe!$N$31:$N$48=D68)*(Ergebniseingabe!$AJ$31:$AJ$48=E68)*(Ergebniseingabe!$BE$31:$BE$48)),"")</f>
      </c>
      <c r="BS68" s="4"/>
      <c r="BT68" s="5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</row>
    <row r="69" spans="2:152" s="3" customFormat="1" ht="12.75">
      <c r="B69" s="3">
        <v>2</v>
      </c>
      <c r="C69" s="3" t="str">
        <f t="shared" si="0"/>
        <v>SV Rosellen 2SSV Strümp</v>
      </c>
      <c r="D69" s="3" t="str">
        <f>F25</f>
        <v>SV Rosellen 2</v>
      </c>
      <c r="E69" s="3" t="str">
        <f>F27</f>
        <v>SSV Strümp</v>
      </c>
      <c r="F69" s="3">
        <f>IF(SUMPRODUCT((Ergebniseingabe!$N$31:$N$48=D69)*(Ergebniseingabe!$AJ$31:$AJ$48=E69)*(ISNUMBER(Ergebniseingabe!$BH$31:$BH$48)))=1,SUMPRODUCT((Ergebniseingabe!$N$31:$N$48=D69)*(Ergebniseingabe!$AJ$31:$AJ$48=E69)*(Ergebniseingabe!$BE$31:$BE$48))&amp;":"&amp;SUMPRODUCT((Ergebniseingabe!$N$31:$N$48=D69)*(Ergebniseingabe!$AJ$31:$AJ$48=E69)*(Ergebniseingabe!$BH$31:$BH$48)),"")</f>
      </c>
      <c r="G69" s="3">
        <f>IF(SUMPRODUCT((Ergebniseingabe!$AJ$31:$AJ$48=D69)*(Ergebniseingabe!$N$31:$N$48=E69)*(ISNUMBER(Ergebniseingabe!$BH$31:$BH$48)))=1,SUMPRODUCT((Ergebniseingabe!$AJ$31:$AJ$48=D69)*(Ergebniseingabe!$N$31:$N$48=E69)*(Ergebniseingabe!$BH$31:$BH$48))&amp;":"&amp;SUMPRODUCT((Ergebniseingabe!$AJ$31:$AJ$48=D69)*(Ergebniseingabe!$N$31:$N$48=E69)*(Ergebniseingabe!$BE$31:$BE$48)),"")</f>
      </c>
      <c r="H69" s="32">
        <f>IF(SUMPRODUCT((Ergebniseingabe!$N$31:$N$48=D69)*(Ergebniseingabe!$AJ$31:$AJ$48=E69)*(ISNUMBER(Ergebniseingabe!$BH$31:$BH$48)))=1,SUMPRODUCT((Ergebniseingabe!$N$31:$N$48=D69)*(Ergebniseingabe!$AJ$31:$AJ$48=E69)*(Ergebniseingabe!$BE$31:$BE$48)),"")</f>
      </c>
      <c r="BS69" s="4"/>
      <c r="BT69" s="5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</row>
    <row r="70" spans="2:152" s="3" customFormat="1" ht="12.75">
      <c r="B70" s="3">
        <v>3</v>
      </c>
      <c r="C70" s="3" t="str">
        <f t="shared" si="0"/>
        <v>SV Rosellen 2DJK Hoisten</v>
      </c>
      <c r="D70" s="3" t="str">
        <f>F25</f>
        <v>SV Rosellen 2</v>
      </c>
      <c r="E70" s="3" t="str">
        <f>F28</f>
        <v>DJK Hoisten</v>
      </c>
      <c r="F70" s="3">
        <f>IF(SUMPRODUCT((Ergebniseingabe!$N$31:$N$48=D70)*(Ergebniseingabe!$AJ$31:$AJ$48=E70)*(ISNUMBER(Ergebniseingabe!$BH$31:$BH$48)))=1,SUMPRODUCT((Ergebniseingabe!$N$31:$N$48=D70)*(Ergebniseingabe!$AJ$31:$AJ$48=E70)*(Ergebniseingabe!$BE$31:$BE$48))&amp;":"&amp;SUMPRODUCT((Ergebniseingabe!$N$31:$N$48=D70)*(Ergebniseingabe!$AJ$31:$AJ$48=E70)*(Ergebniseingabe!$BH$31:$BH$48)),"")</f>
      </c>
      <c r="G70" s="3">
        <f>IF(SUMPRODUCT((Ergebniseingabe!$AJ$31:$AJ$48=D70)*(Ergebniseingabe!$N$31:$N$48=E70)*(ISNUMBER(Ergebniseingabe!$BH$31:$BH$48)))=1,SUMPRODUCT((Ergebniseingabe!$AJ$31:$AJ$48=D70)*(Ergebniseingabe!$N$31:$N$48=E70)*(Ergebniseingabe!$BH$31:$BH$48))&amp;":"&amp;SUMPRODUCT((Ergebniseingabe!$AJ$31:$AJ$48=D70)*(Ergebniseingabe!$N$31:$N$48=E70)*(Ergebniseingabe!$BE$31:$BE$48)),"")</f>
      </c>
      <c r="H70" s="32">
        <f>IF(SUMPRODUCT((Ergebniseingabe!$AJ$31:$AJ$48=D70)*(Ergebniseingabe!$N$31:$N$48=E70)*(ISNUMBER(Ergebniseingabe!$BE$31:$BE$48)))=1,SUMPRODUCT((Ergebniseingabe!$AJ$31:$AJ$48=D70)*(Ergebniseingabe!$N$31:$N$48=E70)*(Ergebniseingabe!$BH$31:$BH$48)),"")</f>
      </c>
      <c r="BS70" s="4"/>
      <c r="BT70" s="5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</row>
    <row r="71" spans="2:152" s="3" customFormat="1" ht="12.75">
      <c r="B71" s="3">
        <v>4</v>
      </c>
      <c r="C71" s="3" t="str">
        <f t="shared" si="0"/>
        <v>SG Orken-NoithausenSSV Strümp</v>
      </c>
      <c r="D71" s="3" t="str">
        <f>F26</f>
        <v>SG Orken-Noithausen</v>
      </c>
      <c r="E71" s="3" t="str">
        <f>F27</f>
        <v>SSV Strümp</v>
      </c>
      <c r="F71" s="3">
        <f>IF(SUMPRODUCT((Ergebniseingabe!$N$31:$N$48=D71)*(Ergebniseingabe!$AJ$31:$AJ$48=E71)*(ISNUMBER(Ergebniseingabe!$BH$31:$BH$48)))=1,SUMPRODUCT((Ergebniseingabe!$N$31:$N$48=D71)*(Ergebniseingabe!$AJ$31:$AJ$48=E71)*(Ergebniseingabe!$BE$31:$BE$48))&amp;":"&amp;SUMPRODUCT((Ergebniseingabe!$N$31:$N$48=D71)*(Ergebniseingabe!$AJ$31:$AJ$48=E71)*(Ergebniseingabe!$BH$31:$BH$48)),"")</f>
      </c>
      <c r="G71" s="3">
        <f>IF(SUMPRODUCT((Ergebniseingabe!$AJ$31:$AJ$48=D71)*(Ergebniseingabe!$N$31:$N$48=E71)*(ISNUMBER(Ergebniseingabe!$BH$31:$BH$48)))=1,SUMPRODUCT((Ergebniseingabe!$AJ$31:$AJ$48=D71)*(Ergebniseingabe!$N$31:$N$48=E71)*(Ergebniseingabe!$BH$31:$BH$48))&amp;":"&amp;SUMPRODUCT((Ergebniseingabe!$AJ$31:$AJ$48=D71)*(Ergebniseingabe!$N$31:$N$48=E71)*(Ergebniseingabe!$BE$31:$BE$48)),"")</f>
      </c>
      <c r="H71" s="32">
        <f>IF(SUMPRODUCT((Ergebniseingabe!$N$31:$N$48=D71)*(Ergebniseingabe!$AJ$31:$AJ$48=E71)*(ISNUMBER(Ergebniseingabe!$BH$31:$BH$48)))=1,SUMPRODUCT((Ergebniseingabe!$N$31:$N$48=D71)*(Ergebniseingabe!$AJ$31:$AJ$48=E71)*(Ergebniseingabe!$BE$31:$BE$48)),"")</f>
      </c>
      <c r="BS71" s="4"/>
      <c r="BT71" s="5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</row>
    <row r="72" spans="2:152" s="3" customFormat="1" ht="12.75">
      <c r="B72" s="3">
        <v>5</v>
      </c>
      <c r="C72" s="3" t="str">
        <f t="shared" si="0"/>
        <v>SG Orken-NoithausenDJK Hoisten</v>
      </c>
      <c r="D72" s="3" t="str">
        <f>F26</f>
        <v>SG Orken-Noithausen</v>
      </c>
      <c r="E72" s="3" t="str">
        <f>F28</f>
        <v>DJK Hoisten</v>
      </c>
      <c r="F72" s="3">
        <f>IF(SUMPRODUCT((Ergebniseingabe!$N$31:$N$48=D72)*(Ergebniseingabe!$AJ$31:$AJ$48=E72)*(ISNUMBER(Ergebniseingabe!$BH$31:$BH$48)))=1,SUMPRODUCT((Ergebniseingabe!$N$31:$N$48=D72)*(Ergebniseingabe!$AJ$31:$AJ$48=E72)*(Ergebniseingabe!$BE$31:$BE$48))&amp;":"&amp;SUMPRODUCT((Ergebniseingabe!$N$31:$N$48=D72)*(Ergebniseingabe!$AJ$31:$AJ$48=E72)*(Ergebniseingabe!$BH$31:$BH$48)),"")</f>
      </c>
      <c r="G72" s="3">
        <f>IF(SUMPRODUCT((Ergebniseingabe!$AJ$31:$AJ$48=D72)*(Ergebniseingabe!$N$31:$N$48=E72)*(ISNUMBER(Ergebniseingabe!$BH$31:$BH$48)))=1,SUMPRODUCT((Ergebniseingabe!$AJ$31:$AJ$48=D72)*(Ergebniseingabe!$N$31:$N$48=E72)*(Ergebniseingabe!$BH$31:$BH$48))&amp;":"&amp;SUMPRODUCT((Ergebniseingabe!$AJ$31:$AJ$48=D72)*(Ergebniseingabe!$N$31:$N$48=E72)*(Ergebniseingabe!$BE$31:$BE$48)),"")</f>
      </c>
      <c r="H72" s="32">
        <f>IF(SUMPRODUCT((Ergebniseingabe!$N$31:$N$48=D72)*(Ergebniseingabe!$AJ$31:$AJ$48=E72)*(ISNUMBER(Ergebniseingabe!$BH$31:$BH$48)))=1,SUMPRODUCT((Ergebniseingabe!$N$31:$N$48=D72)*(Ergebniseingabe!$AJ$31:$AJ$48=E72)*(Ergebniseingabe!$BE$31:$BE$48)),"")</f>
      </c>
      <c r="BS72" s="4"/>
      <c r="BT72" s="5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</row>
    <row r="73" spans="2:152" s="3" customFormat="1" ht="12.75">
      <c r="B73" s="3">
        <v>6</v>
      </c>
      <c r="C73" s="3" t="str">
        <f t="shared" si="0"/>
        <v>SSV StrümpDJK Hoisten</v>
      </c>
      <c r="D73" s="3" t="str">
        <f>F27</f>
        <v>SSV Strümp</v>
      </c>
      <c r="E73" s="3" t="str">
        <f>F28</f>
        <v>DJK Hoisten</v>
      </c>
      <c r="F73" s="3">
        <f>IF(SUMPRODUCT((Ergebniseingabe!$N$31:$N$48=D73)*(Ergebniseingabe!$AJ$31:$AJ$48=E73)*(ISNUMBER(Ergebniseingabe!$BH$31:$BH$48)))=1,SUMPRODUCT((Ergebniseingabe!$N$31:$N$48=D73)*(Ergebniseingabe!$AJ$31:$AJ$48=E73)*(Ergebniseingabe!$BE$31:$BE$48))&amp;":"&amp;SUMPRODUCT((Ergebniseingabe!$N$31:$N$48=D73)*(Ergebniseingabe!$AJ$31:$AJ$48=E73)*(Ergebniseingabe!$BH$31:$BH$48)),"")</f>
      </c>
      <c r="G73" s="3">
        <f>IF(SUMPRODUCT((Ergebniseingabe!$AJ$31:$AJ$48=D73)*(Ergebniseingabe!$N$31:$N$48=E73)*(ISNUMBER(Ergebniseingabe!$BH$31:$BH$48)))=1,SUMPRODUCT((Ergebniseingabe!$AJ$31:$AJ$48=D73)*(Ergebniseingabe!$N$31:$N$48=E73)*(Ergebniseingabe!$BH$31:$BH$48))&amp;":"&amp;SUMPRODUCT((Ergebniseingabe!$AJ$31:$AJ$48=D73)*(Ergebniseingabe!$N$31:$N$48=E73)*(Ergebniseingabe!$BE$31:$BE$48)),"")</f>
      </c>
      <c r="H73" s="32">
        <f>IF(SUMPRODUCT((Ergebniseingabe!$N$31:$N$48=D73)*(Ergebniseingabe!$AJ$31:$AJ$48=E73)*(ISNUMBER(Ergebniseingabe!$BH$31:$BH$48)))=1,SUMPRODUCT((Ergebniseingabe!$N$31:$N$48=D73)*(Ergebniseingabe!$AJ$31:$AJ$48=E73)*(Ergebniseingabe!$BE$31:$BE$48)),"")</f>
      </c>
      <c r="BS73" s="4"/>
      <c r="BT73" s="5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</row>
    <row r="74" spans="2:152" s="3" customFormat="1" ht="12.75">
      <c r="B74" s="3">
        <v>1</v>
      </c>
      <c r="C74" s="3" t="str">
        <f t="shared" si="0"/>
        <v>SG Orken-NoithausenSV Rosellen 2</v>
      </c>
      <c r="D74" s="3" t="str">
        <f aca="true" t="shared" si="5" ref="D74:D79">E68</f>
        <v>SG Orken-Noithausen</v>
      </c>
      <c r="E74" s="3" t="str">
        <f aca="true" t="shared" si="6" ref="E74:E79">D68</f>
        <v>SV Rosellen 2</v>
      </c>
      <c r="F74" s="3">
        <f>IF(SUMPRODUCT((Ergebniseingabe!$N$31:$N$48=D74)*(Ergebniseingabe!$AJ$31:$AJ$48=E74)*(ISNUMBER(Ergebniseingabe!$BH$31:$BH$48)))=1,SUMPRODUCT((Ergebniseingabe!$N$31:$N$48=D74)*(Ergebniseingabe!$AJ$31:$AJ$48=E74)*(Ergebniseingabe!$BE$31:$BE$48))&amp;":"&amp;SUMPRODUCT((Ergebniseingabe!$N$31:$N$48=D74)*(Ergebniseingabe!$AJ$31:$AJ$48=E74)*(Ergebniseingabe!$BH$31:$BH$48)),"")</f>
      </c>
      <c r="G74" s="3">
        <f>IF(SUMPRODUCT((Ergebniseingabe!$AJ$31:$AJ$48=D74)*(Ergebniseingabe!$N$31:$N$48=E74)*(ISNUMBER(Ergebniseingabe!$BH$31:$BH$48)))=1,SUMPRODUCT((Ergebniseingabe!$AJ$31:$AJ$48=D74)*(Ergebniseingabe!$N$31:$N$48=E74)*(Ergebniseingabe!$BH$31:$BH$48))&amp;":"&amp;SUMPRODUCT((Ergebniseingabe!$AJ$31:$AJ$48=D74)*(Ergebniseingabe!$N$31:$N$48=E74)*(Ergebniseingabe!$BE$31:$BE$48)),"")</f>
      </c>
      <c r="H74" s="32">
        <f>IF(SUMPRODUCT((Ergebniseingabe!$AJ$31:$AJ$48=D74)*(Ergebniseingabe!$N$31:$N$48=E74)*(ISNUMBER(Ergebniseingabe!$BE$31:$BE$48)))=1,SUMPRODUCT((Ergebniseingabe!$AJ$31:$AJ$48=D74)*(Ergebniseingabe!$N$31:$N$48=E74)*(Ergebniseingabe!$BH$31:$BH$48)),"")</f>
      </c>
      <c r="BS74" s="4"/>
      <c r="BT74" s="5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</row>
    <row r="75" spans="2:152" s="3" customFormat="1" ht="12.75">
      <c r="B75" s="3">
        <v>2</v>
      </c>
      <c r="C75" s="3" t="str">
        <f t="shared" si="0"/>
        <v>SSV StrümpSV Rosellen 2</v>
      </c>
      <c r="D75" s="3" t="str">
        <f t="shared" si="5"/>
        <v>SSV Strümp</v>
      </c>
      <c r="E75" s="3" t="str">
        <f t="shared" si="6"/>
        <v>SV Rosellen 2</v>
      </c>
      <c r="F75" s="3">
        <f>IF(SUMPRODUCT((Ergebniseingabe!$N$31:$N$48=D75)*(Ergebniseingabe!$AJ$31:$AJ$48=E75)*(ISNUMBER(Ergebniseingabe!$BH$31:$BH$48)))=1,SUMPRODUCT((Ergebniseingabe!$N$31:$N$48=D75)*(Ergebniseingabe!$AJ$31:$AJ$48=E75)*(Ergebniseingabe!$BE$31:$BE$48))&amp;":"&amp;SUMPRODUCT((Ergebniseingabe!$N$31:$N$48=D75)*(Ergebniseingabe!$AJ$31:$AJ$48=E75)*(Ergebniseingabe!$BH$31:$BH$48)),"")</f>
      </c>
      <c r="G75" s="3">
        <f>IF(SUMPRODUCT((Ergebniseingabe!$AJ$31:$AJ$48=D75)*(Ergebniseingabe!$N$31:$N$48=E75)*(ISNUMBER(Ergebniseingabe!$BH$31:$BH$48)))=1,SUMPRODUCT((Ergebniseingabe!$AJ$31:$AJ$48=D75)*(Ergebniseingabe!$N$31:$N$48=E75)*(Ergebniseingabe!$BH$31:$BH$48))&amp;":"&amp;SUMPRODUCT((Ergebniseingabe!$AJ$31:$AJ$48=D75)*(Ergebniseingabe!$N$31:$N$48=E75)*(Ergebniseingabe!$BE$31:$BE$48)),"")</f>
      </c>
      <c r="H75" s="32">
        <f>IF(SUMPRODUCT((Ergebniseingabe!$AJ$31:$AJ$48=D75)*(Ergebniseingabe!$N$31:$N$48=E75)*(ISNUMBER(Ergebniseingabe!$BE$31:$BE$48)))=1,SUMPRODUCT((Ergebniseingabe!$AJ$31:$AJ$48=D75)*(Ergebniseingabe!$N$31:$N$48=E75)*(Ergebniseingabe!$BH$31:$BH$48)),"")</f>
      </c>
      <c r="BS75" s="4"/>
      <c r="BT75" s="5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</row>
    <row r="76" spans="2:152" s="3" customFormat="1" ht="12.75">
      <c r="B76" s="3">
        <v>3</v>
      </c>
      <c r="C76" s="3" t="str">
        <f t="shared" si="0"/>
        <v>DJK HoistenSV Rosellen 2</v>
      </c>
      <c r="D76" s="3" t="str">
        <f t="shared" si="5"/>
        <v>DJK Hoisten</v>
      </c>
      <c r="E76" s="3" t="str">
        <f t="shared" si="6"/>
        <v>SV Rosellen 2</v>
      </c>
      <c r="F76" s="3">
        <f>IF(SUMPRODUCT((Ergebniseingabe!$N$31:$N$48=D76)*(Ergebniseingabe!$AJ$31:$AJ$48=E76)*(ISNUMBER(Ergebniseingabe!$BH$31:$BH$48)))=1,SUMPRODUCT((Ergebniseingabe!$N$31:$N$48=D76)*(Ergebniseingabe!$AJ$31:$AJ$48=E76)*(Ergebniseingabe!$BE$31:$BE$48))&amp;":"&amp;SUMPRODUCT((Ergebniseingabe!$N$31:$N$48=D76)*(Ergebniseingabe!$AJ$31:$AJ$48=E76)*(Ergebniseingabe!$BH$31:$BH$48)),"")</f>
      </c>
      <c r="G76" s="3">
        <f>IF(SUMPRODUCT((Ergebniseingabe!$AJ$31:$AJ$48=D76)*(Ergebniseingabe!$N$31:$N$48=E76)*(ISNUMBER(Ergebniseingabe!$BH$31:$BH$48)))=1,SUMPRODUCT((Ergebniseingabe!$AJ$31:$AJ$48=D76)*(Ergebniseingabe!$N$31:$N$48=E76)*(Ergebniseingabe!$BH$31:$BH$48))&amp;":"&amp;SUMPRODUCT((Ergebniseingabe!$AJ$31:$AJ$48=D76)*(Ergebniseingabe!$N$31:$N$48=E76)*(Ergebniseingabe!$BE$31:$BE$48)),"")</f>
      </c>
      <c r="H76" s="32">
        <f>IF(SUMPRODUCT((Ergebniseingabe!$N$31:$N$48=D76)*(Ergebniseingabe!$AJ$31:$AJ$48=E76)*(ISNUMBER(Ergebniseingabe!$BH$31:$BH$48)))=1,SUMPRODUCT((Ergebniseingabe!$N$31:$N$48=D76)*(Ergebniseingabe!$AJ$31:$AJ$48=E76)*(Ergebniseingabe!$BE$31:$BE$48)),"")</f>
      </c>
      <c r="BS76" s="4"/>
      <c r="BT76" s="5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</row>
    <row r="77" spans="2:152" s="3" customFormat="1" ht="12.75">
      <c r="B77" s="3">
        <v>4</v>
      </c>
      <c r="C77" s="3" t="str">
        <f t="shared" si="0"/>
        <v>SSV StrümpSG Orken-Noithausen</v>
      </c>
      <c r="D77" s="3" t="str">
        <f t="shared" si="5"/>
        <v>SSV Strümp</v>
      </c>
      <c r="E77" s="3" t="str">
        <f t="shared" si="6"/>
        <v>SG Orken-Noithausen</v>
      </c>
      <c r="F77" s="3">
        <f>IF(SUMPRODUCT((Ergebniseingabe!$N$31:$N$48=D77)*(Ergebniseingabe!$AJ$31:$AJ$48=E77)*(ISNUMBER(Ergebniseingabe!$BH$31:$BH$48)))=1,SUMPRODUCT((Ergebniseingabe!$N$31:$N$48=D77)*(Ergebniseingabe!$AJ$31:$AJ$48=E77)*(Ergebniseingabe!$BE$31:$BE$48))&amp;":"&amp;SUMPRODUCT((Ergebniseingabe!$N$31:$N$48=D77)*(Ergebniseingabe!$AJ$31:$AJ$48=E77)*(Ergebniseingabe!$BH$31:$BH$48)),"")</f>
      </c>
      <c r="G77" s="3">
        <f>IF(SUMPRODUCT((Ergebniseingabe!$AJ$31:$AJ$48=D77)*(Ergebniseingabe!$N$31:$N$48=E77)*(ISNUMBER(Ergebniseingabe!$BH$31:$BH$48)))=1,SUMPRODUCT((Ergebniseingabe!$AJ$31:$AJ$48=D77)*(Ergebniseingabe!$N$31:$N$48=E77)*(Ergebniseingabe!$BH$31:$BH$48))&amp;":"&amp;SUMPRODUCT((Ergebniseingabe!$AJ$31:$AJ$48=D77)*(Ergebniseingabe!$N$31:$N$48=E77)*(Ergebniseingabe!$BE$31:$BE$48)),"")</f>
      </c>
      <c r="H77" s="32">
        <f>IF(SUMPRODUCT((Ergebniseingabe!$AJ$31:$AJ$48=D77)*(Ergebniseingabe!$N$31:$N$48=E77)*(ISNUMBER(Ergebniseingabe!$BE$31:$BE$48)))=1,SUMPRODUCT((Ergebniseingabe!$AJ$31:$AJ$48=D77)*(Ergebniseingabe!$N$31:$N$48=E77)*(Ergebniseingabe!$BH$31:$BH$48)),"")</f>
      </c>
      <c r="BS77" s="4"/>
      <c r="BT77" s="5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</row>
    <row r="78" spans="2:152" s="3" customFormat="1" ht="12.75">
      <c r="B78" s="3">
        <v>5</v>
      </c>
      <c r="C78" s="3" t="str">
        <f t="shared" si="0"/>
        <v>DJK HoistenSG Orken-Noithausen</v>
      </c>
      <c r="D78" s="3" t="str">
        <f t="shared" si="5"/>
        <v>DJK Hoisten</v>
      </c>
      <c r="E78" s="3" t="str">
        <f t="shared" si="6"/>
        <v>SG Orken-Noithausen</v>
      </c>
      <c r="F78" s="3">
        <f>IF(SUMPRODUCT((Ergebniseingabe!$N$31:$N$48=D78)*(Ergebniseingabe!$AJ$31:$AJ$48=E78)*(ISNUMBER(Ergebniseingabe!$BH$31:$BH$48)))=1,SUMPRODUCT((Ergebniseingabe!$N$31:$N$48=D78)*(Ergebniseingabe!$AJ$31:$AJ$48=E78)*(Ergebniseingabe!$BE$31:$BE$48))&amp;":"&amp;SUMPRODUCT((Ergebniseingabe!$N$31:$N$48=D78)*(Ergebniseingabe!$AJ$31:$AJ$48=E78)*(Ergebniseingabe!$BH$31:$BH$48)),"")</f>
      </c>
      <c r="G78" s="3">
        <f>IF(SUMPRODUCT((Ergebniseingabe!$AJ$31:$AJ$48=D78)*(Ergebniseingabe!$N$31:$N$48=E78)*(ISNUMBER(Ergebniseingabe!$BH$31:$BH$48)))=1,SUMPRODUCT((Ergebniseingabe!$AJ$31:$AJ$48=D78)*(Ergebniseingabe!$N$31:$N$48=E78)*(Ergebniseingabe!$BH$31:$BH$48))&amp;":"&amp;SUMPRODUCT((Ergebniseingabe!$AJ$31:$AJ$48=D78)*(Ergebniseingabe!$N$31:$N$48=E78)*(Ergebniseingabe!$BE$31:$BE$48)),"")</f>
      </c>
      <c r="H78" s="32">
        <f>IF(SUMPRODUCT((Ergebniseingabe!$AJ$31:$AJ$48=D78)*(Ergebniseingabe!$N$31:$N$48=E78)*(ISNUMBER(Ergebniseingabe!$BE$31:$BE$48)))=1,SUMPRODUCT((Ergebniseingabe!$AJ$31:$AJ$48=D78)*(Ergebniseingabe!$N$31:$N$48=E78)*(Ergebniseingabe!$BH$31:$BH$48)),"")</f>
      </c>
      <c r="BS78" s="4"/>
      <c r="BT78" s="5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</row>
    <row r="79" spans="2:152" s="3" customFormat="1" ht="12.75">
      <c r="B79" s="3">
        <v>6</v>
      </c>
      <c r="C79" s="3" t="str">
        <f t="shared" si="0"/>
        <v>DJK HoistenSSV Strümp</v>
      </c>
      <c r="D79" s="3" t="str">
        <f t="shared" si="5"/>
        <v>DJK Hoisten</v>
      </c>
      <c r="E79" s="3" t="str">
        <f t="shared" si="6"/>
        <v>SSV Strümp</v>
      </c>
      <c r="F79" s="3">
        <f>IF(SUMPRODUCT((Ergebniseingabe!$N$31:$N$48=D79)*(Ergebniseingabe!$AJ$31:$AJ$48=E79)*(ISNUMBER(Ergebniseingabe!$BH$31:$BH$48)))=1,SUMPRODUCT((Ergebniseingabe!$N$31:$N$48=D79)*(Ergebniseingabe!$AJ$31:$AJ$48=E79)*(Ergebniseingabe!$BE$31:$BE$48))&amp;":"&amp;SUMPRODUCT((Ergebniseingabe!$N$31:$N$48=D79)*(Ergebniseingabe!$AJ$31:$AJ$48=E79)*(Ergebniseingabe!$BH$31:$BH$48)),"")</f>
      </c>
      <c r="G79" s="3">
        <f>IF(SUMPRODUCT((Ergebniseingabe!$AJ$31:$AJ$48=D79)*(Ergebniseingabe!$N$31:$N$48=E79)*(ISNUMBER(Ergebniseingabe!$BH$31:$BH$48)))=1,SUMPRODUCT((Ergebniseingabe!$AJ$31:$AJ$48=D79)*(Ergebniseingabe!$N$31:$N$48=E79)*(Ergebniseingabe!$BH$31:$BH$48))&amp;":"&amp;SUMPRODUCT((Ergebniseingabe!$AJ$31:$AJ$48=D79)*(Ergebniseingabe!$N$31:$N$48=E79)*(Ergebniseingabe!$BE$31:$BE$48)),"")</f>
      </c>
      <c r="H79" s="32">
        <f>IF(SUMPRODUCT((Ergebniseingabe!$AJ$31:$AJ$48=D79)*(Ergebniseingabe!$N$31:$N$48=E79)*(ISNUMBER(Ergebniseingabe!$BE$31:$BE$48)))=1,SUMPRODUCT((Ergebniseingabe!$AJ$31:$AJ$48=D79)*(Ergebniseingabe!$N$31:$N$48=E79)*(Ergebniseingabe!$BH$31:$BH$48)),"")</f>
      </c>
      <c r="BS79" s="4"/>
      <c r="BT79" s="5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</row>
    <row r="80" spans="71:152" s="3" customFormat="1" ht="12.75">
      <c r="BS80" s="4"/>
      <c r="BT80" s="5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</row>
    <row r="81" spans="72:153" s="3" customFormat="1" ht="12.75">
      <c r="BT81" s="4"/>
      <c r="BU81" s="5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</row>
    <row r="82" spans="72:153" s="3" customFormat="1" ht="12.75">
      <c r="BT82" s="4"/>
      <c r="BU82" s="5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</row>
    <row r="83" spans="72:153" s="3" customFormat="1" ht="12.75">
      <c r="BT83" s="4"/>
      <c r="BU83" s="5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</row>
    <row r="84" spans="72:153" s="3" customFormat="1" ht="12.75">
      <c r="BT84" s="4"/>
      <c r="BU84" s="5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</row>
    <row r="85" spans="72:153" s="3" customFormat="1" ht="12.75">
      <c r="BT85" s="4"/>
      <c r="BU85" s="5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</row>
    <row r="86" spans="72:153" s="3" customFormat="1" ht="12.75">
      <c r="BT86" s="4"/>
      <c r="BU86" s="5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</row>
    <row r="87" spans="72:153" s="3" customFormat="1" ht="12.75">
      <c r="BT87" s="4"/>
      <c r="BU87" s="5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</row>
    <row r="88" spans="72:153" s="3" customFormat="1" ht="12.75">
      <c r="BT88" s="4"/>
      <c r="BU88" s="5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</row>
    <row r="89" spans="73:154" s="3" customFormat="1" ht="12.75">
      <c r="BU89" s="4"/>
      <c r="BV89" s="5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</row>
    <row r="90" spans="73:154" s="3" customFormat="1" ht="12.75">
      <c r="BU90" s="4"/>
      <c r="BV90" s="5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</row>
    <row r="91" spans="73:154" s="3" customFormat="1" ht="12.75">
      <c r="BU91" s="4"/>
      <c r="BV91" s="5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</row>
    <row r="92" spans="73:154" s="3" customFormat="1" ht="12.75">
      <c r="BU92" s="4"/>
      <c r="BV92" s="5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</row>
    <row r="93" spans="73:154" s="3" customFormat="1" ht="12.75">
      <c r="BU93" s="4"/>
      <c r="BV93" s="5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</row>
    <row r="94" spans="73:154" s="3" customFormat="1" ht="12.75">
      <c r="BU94" s="4"/>
      <c r="BV94" s="5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</row>
    <row r="95" spans="73:154" s="3" customFormat="1" ht="12.75">
      <c r="BU95" s="4"/>
      <c r="BV95" s="5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</row>
    <row r="96" spans="73:154" s="3" customFormat="1" ht="19.5" customHeight="1">
      <c r="BU96" s="4"/>
      <c r="BV96" s="5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</row>
    <row r="97" spans="73:154" s="3" customFormat="1" ht="19.5" customHeight="1">
      <c r="BU97" s="4"/>
      <c r="BV97" s="5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</row>
    <row r="98" spans="73:154" s="3" customFormat="1" ht="19.5" customHeight="1">
      <c r="BU98" s="4"/>
      <c r="BV98" s="5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</row>
    <row r="99" spans="73:154" s="3" customFormat="1" ht="19.5" customHeight="1">
      <c r="BU99" s="4"/>
      <c r="BV99" s="5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</row>
    <row r="100" spans="73:154" s="3" customFormat="1" ht="19.5" customHeight="1">
      <c r="BU100" s="4"/>
      <c r="BV100" s="5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</row>
    <row r="101" spans="73:154" s="3" customFormat="1" ht="19.5" customHeight="1">
      <c r="BU101" s="4"/>
      <c r="BV101" s="5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Roland</cp:lastModifiedBy>
  <cp:lastPrinted>2010-09-18T08:42:55Z</cp:lastPrinted>
  <dcterms:created xsi:type="dcterms:W3CDTF">2010-02-21T20:21:50Z</dcterms:created>
  <dcterms:modified xsi:type="dcterms:W3CDTF">2016-04-17T15:27:06Z</dcterms:modified>
  <cp:category/>
  <cp:version/>
  <cp:contentType/>
  <cp:contentStatus/>
</cp:coreProperties>
</file>